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66925"/>
  <mc:AlternateContent xmlns:mc="http://schemas.openxmlformats.org/markup-compatibility/2006">
    <mc:Choice Requires="x15">
      <x15ac:absPath xmlns:x15ac="http://schemas.microsoft.com/office/spreadsheetml/2010/11/ac" url="H:\SUSTAINABILITY\GREEN BUILDINGS\SEND - Embodied Carbon\Guidelines &amp; Design Report\2 EC Design Report (Template)\EC Design Report V 2.0\"/>
    </mc:Choice>
  </mc:AlternateContent>
  <xr:revisionPtr revIDLastSave="0" documentId="13_ncr:1_{4958E5DD-EC78-4908-9F05-FC335ECFBDE7}" xr6:coauthVersionLast="47" xr6:coauthVersionMax="47" xr10:uidLastSave="{00000000-0000-0000-0000-000000000000}"/>
  <workbookProtection workbookAlgorithmName="SHA-512" workbookHashValue="r8KncKsxRwXrjboVosPULpNOvYu68qkR2aCb6uwX9lciMGFxlK24Wk58qDZZutaEtznZ0v16/9L3Ve0hBf51hw==" workbookSaltValue="jeXWzLMvYux/D9KVDzqCfA==" workbookSpinCount="100000" lockStructure="1"/>
  <bookViews>
    <workbookView xWindow="-120" yWindow="-120" windowWidth="29040" windowHeight="15720" tabRatio="860" firstSheet="1" activeTab="1" xr2:uid="{B83B486E-CB9D-433F-B30F-37231CDF62AD}"/>
  </bookViews>
  <sheets>
    <sheet name="1. Instructions" sheetId="26" r:id="rId1"/>
    <sheet name="2. Project Info" sheetId="17" r:id="rId2"/>
    <sheet name="3. EC Modelling Info" sheetId="23" r:id="rId3"/>
    <sheet name="4. Results &amp; Compliance" sheetId="25" r:id="rId4"/>
    <sheet name="5. Submission Docs." sheetId="30" r:id="rId5"/>
    <sheet name="6. Carbon Storage" sheetId="29" r:id="rId6"/>
    <sheet name="7. ILCs - Design " sheetId="33" r:id="rId7"/>
    <sheet name="8. ILCs - As-Built" sheetId="35" r:id="rId8"/>
    <sheet name="9. Definitions" sheetId="36" r:id="rId9"/>
    <sheet name="10. Version Tracker" sheetId="32" r:id="rId10"/>
    <sheet name="Backend (to be hidden)" sheetId="9" state="hidden" r:id="rId11"/>
  </sheets>
  <definedNames>
    <definedName name="_Ref188254591" localSheetId="2">'3. EC Modelling Info'!#REF!</definedName>
    <definedName name="_Ref188254670" localSheetId="2">'3. EC Modelling Info'!#REF!</definedName>
    <definedName name="_Ref188254675" localSheetId="2">'3. EC Modelling Info'!#REF!</definedName>
    <definedName name="_Ref188254707" localSheetId="2">'3. EC Modelling Info'!#REF!</definedName>
    <definedName name="_Ref188254709" localSheetId="2">'3. EC Modelling Info'!#REF!</definedName>
    <definedName name="_Ref188254712" localSheetId="2">'3. EC Modelling Info'!#REF!</definedName>
    <definedName name="_Ref188255344" localSheetId="2">'3. EC Modelling Info'!#REF!</definedName>
    <definedName name="_Ref189749167" localSheetId="2">'3. EC Modelling Info'!#REF!</definedName>
    <definedName name="_xlnm.Print_Area" localSheetId="0">'1. Instructions'!$B$2:$F$40</definedName>
    <definedName name="_xlnm.Print_Area" localSheetId="9">'10. Version Tracker'!$B$2:$G$17</definedName>
    <definedName name="_xlnm.Print_Area" localSheetId="1">'2. Project Info'!$B$2:$G$78</definedName>
    <definedName name="_xlnm.Print_Area" localSheetId="2">'3. EC Modelling Info'!$B$2:$G$121</definedName>
    <definedName name="_xlnm.Print_Area" localSheetId="3">'4. Results &amp; Compliance'!$B$2:$I$96</definedName>
    <definedName name="_xlnm.Print_Area" localSheetId="4">'5. Submission Docs.'!$B$2:$H$61</definedName>
    <definedName name="_xlnm.Print_Area" localSheetId="5">'6. Carbon Storage'!$A$1:$I$213</definedName>
    <definedName name="_xlnm.Print_Area" localSheetId="6">'7. ILCs - Design '!$B$2:$J$295</definedName>
    <definedName name="_xlnm.Print_Area" localSheetId="7">'8. ILCs - As-Built'!$B$2:$M$227</definedName>
    <definedName name="_xlnm.Print_Area" localSheetId="8">'9. Definitions'!$B$2:$G$70</definedName>
    <definedName name="_xlnm.Print_Titles" localSheetId="0">'1. Instructions'!$2:$5</definedName>
    <definedName name="_xlnm.Print_Titles" localSheetId="9">'10. Version Tracker'!$2:$8</definedName>
    <definedName name="_xlnm.Print_Titles" localSheetId="1">'2. Project Info'!$2:$5</definedName>
    <definedName name="_xlnm.Print_Titles" localSheetId="2">'3. EC Modelling Info'!$2:$5</definedName>
    <definedName name="_xlnm.Print_Titles" localSheetId="3">'4. Results &amp; Compliance'!$2:$5</definedName>
    <definedName name="_xlnm.Print_Titles" localSheetId="4">'5. Submission Docs.'!$2:$5</definedName>
    <definedName name="_xlnm.Print_Titles" localSheetId="5">'6. Carbon Storage'!$2:$6</definedName>
    <definedName name="_xlnm.Print_Titles" localSheetId="6">'7. ILCs - Design '!$2:$6</definedName>
    <definedName name="_xlnm.Print_Titles" localSheetId="7">'8. ILCs - As-Built'!$2:$6</definedName>
    <definedName name="_xlnm.Print_Titles" localSheetId="8">'9. Definitions'!$2:$8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L24" i="9" l="1"/>
  <c r="CL21" i="9"/>
  <c r="M43" i="35"/>
  <c r="M42" i="35"/>
  <c r="M41" i="35"/>
  <c r="H76" i="25"/>
  <c r="H75" i="25"/>
  <c r="H74" i="25"/>
  <c r="H73" i="25"/>
  <c r="G75" i="25"/>
  <c r="G74" i="25"/>
  <c r="G73" i="25"/>
  <c r="G285" i="33" l="1"/>
  <c r="I216" i="33" l="1"/>
  <c r="I219" i="33" s="1"/>
  <c r="I221" i="33" s="1"/>
  <c r="H16" i="25" l="1"/>
  <c r="E37" i="33"/>
  <c r="D39" i="23"/>
  <c r="D38" i="23"/>
  <c r="D37" i="23"/>
  <c r="D36" i="23"/>
  <c r="C154" i="35" l="1"/>
  <c r="C161" i="35"/>
  <c r="C182" i="35"/>
  <c r="C202" i="35"/>
  <c r="D15" i="29"/>
  <c r="K181" i="35" l="1"/>
  <c r="K180" i="35"/>
  <c r="K179" i="35"/>
  <c r="K178" i="35"/>
  <c r="K153" i="35"/>
  <c r="K152" i="35"/>
  <c r="K151" i="35"/>
  <c r="H181" i="35"/>
  <c r="M181" i="35" s="1"/>
  <c r="H180" i="35"/>
  <c r="M180" i="35" s="1"/>
  <c r="H179" i="35"/>
  <c r="M179" i="35" s="1"/>
  <c r="H178" i="35"/>
  <c r="M178" i="35" s="1"/>
  <c r="H153" i="35"/>
  <c r="M153" i="35" s="1"/>
  <c r="H152" i="35"/>
  <c r="H151" i="35"/>
  <c r="M151" i="35" s="1"/>
  <c r="H150" i="35"/>
  <c r="M150" i="35" s="1"/>
  <c r="K150" i="35"/>
  <c r="L152" i="35" l="1"/>
  <c r="L178" i="35"/>
  <c r="L182" i="35"/>
  <c r="M152" i="35"/>
  <c r="L153" i="35"/>
  <c r="L151" i="35"/>
  <c r="L150" i="35"/>
  <c r="C49" i="35"/>
  <c r="C105" i="35"/>
  <c r="C61" i="35"/>
  <c r="L16" i="35"/>
  <c r="L15" i="35"/>
  <c r="L209" i="35"/>
  <c r="L180" i="35"/>
  <c r="L160" i="35"/>
  <c r="C128" i="35"/>
  <c r="L107" i="35"/>
  <c r="D86" i="35"/>
  <c r="C86" i="35"/>
  <c r="D85" i="35"/>
  <c r="C85" i="35"/>
  <c r="D84" i="35"/>
  <c r="C84" i="35"/>
  <c r="D83" i="35"/>
  <c r="C83" i="35"/>
  <c r="D82" i="35"/>
  <c r="C82" i="35"/>
  <c r="L54" i="35"/>
  <c r="J48" i="35"/>
  <c r="K26" i="35" s="1"/>
  <c r="D48" i="35"/>
  <c r="I26" i="35" s="1"/>
  <c r="M47" i="35"/>
  <c r="K47" i="35"/>
  <c r="L47" i="35" s="1"/>
  <c r="J47" i="35"/>
  <c r="M46" i="35"/>
  <c r="K46" i="35"/>
  <c r="L46" i="35" s="1"/>
  <c r="J46" i="35"/>
  <c r="M45" i="35"/>
  <c r="K45" i="35"/>
  <c r="L45" i="35" s="1"/>
  <c r="J45" i="35"/>
  <c r="M44" i="35"/>
  <c r="K44" i="35"/>
  <c r="L44" i="35" s="1"/>
  <c r="J44" i="35"/>
  <c r="J43" i="35"/>
  <c r="J42" i="35"/>
  <c r="J41" i="35"/>
  <c r="M40" i="35"/>
  <c r="K40" i="35"/>
  <c r="J40" i="35"/>
  <c r="M34" i="35"/>
  <c r="M33" i="35"/>
  <c r="M32" i="35"/>
  <c r="L13" i="35"/>
  <c r="L40" i="35" l="1"/>
  <c r="L179" i="35"/>
  <c r="H133" i="35"/>
  <c r="L154" i="35"/>
  <c r="L181" i="35"/>
  <c r="I256" i="33"/>
  <c r="DG2" i="9" l="1"/>
  <c r="J210" i="33" s="1"/>
  <c r="I243" i="33"/>
  <c r="I229" i="33"/>
  <c r="I231" i="33" s="1"/>
  <c r="CI10" i="9" l="1"/>
  <c r="G88" i="25"/>
  <c r="F18" i="33"/>
  <c r="H18" i="33" s="1"/>
  <c r="H88" i="25" s="1" a="1"/>
  <c r="H88" i="25" s="1"/>
  <c r="H108" i="33"/>
  <c r="F40" i="33"/>
  <c r="F41" i="33"/>
  <c r="F42" i="33"/>
  <c r="F43" i="33"/>
  <c r="I56" i="33"/>
  <c r="H56" i="33"/>
  <c r="G56" i="33"/>
  <c r="F56" i="33"/>
  <c r="E56" i="33"/>
  <c r="I55" i="33"/>
  <c r="H55" i="33"/>
  <c r="G55" i="33"/>
  <c r="F55" i="33"/>
  <c r="E55" i="33"/>
  <c r="I54" i="33"/>
  <c r="H54" i="33"/>
  <c r="G54" i="33"/>
  <c r="F54" i="33"/>
  <c r="E54" i="33"/>
  <c r="I53" i="33"/>
  <c r="H53" i="33"/>
  <c r="G53" i="33"/>
  <c r="F53" i="33"/>
  <c r="E53" i="33"/>
  <c r="I50" i="33"/>
  <c r="H50" i="33"/>
  <c r="G50" i="33"/>
  <c r="F50" i="33"/>
  <c r="E50" i="33"/>
  <c r="I43" i="33"/>
  <c r="I42" i="33"/>
  <c r="I41" i="33"/>
  <c r="I40" i="33"/>
  <c r="H43" i="33"/>
  <c r="H42" i="33"/>
  <c r="H41" i="33"/>
  <c r="H40" i="33"/>
  <c r="G43" i="33"/>
  <c r="G42" i="33"/>
  <c r="G41" i="33"/>
  <c r="G40" i="33"/>
  <c r="I37" i="33"/>
  <c r="H37" i="33"/>
  <c r="G37" i="33"/>
  <c r="F37" i="33"/>
  <c r="I57" i="33" l="1"/>
  <c r="H57" i="33"/>
  <c r="G57" i="33"/>
  <c r="F57" i="33"/>
  <c r="E57" i="33"/>
  <c r="H44" i="33"/>
  <c r="H72" i="33"/>
  <c r="I48" i="33"/>
  <c r="I58" i="33" s="1"/>
  <c r="H48" i="33"/>
  <c r="H58" i="33" s="1"/>
  <c r="G48" i="33"/>
  <c r="G58" i="33" s="1"/>
  <c r="F48" i="33"/>
  <c r="F58" i="33" s="1"/>
  <c r="E48" i="33"/>
  <c r="E58" i="33" s="1"/>
  <c r="I35" i="33"/>
  <c r="I45" i="33" s="1"/>
  <c r="H35" i="33"/>
  <c r="H45" i="33" s="1"/>
  <c r="G35" i="33"/>
  <c r="G45" i="33" s="1"/>
  <c r="F35" i="33"/>
  <c r="F45" i="33" s="1"/>
  <c r="E35" i="33"/>
  <c r="E45" i="33" s="1"/>
  <c r="F44" i="33"/>
  <c r="H26" i="33" l="1"/>
  <c r="I44" i="33"/>
  <c r="E44" i="33"/>
  <c r="H131" i="33" l="1"/>
  <c r="I95" i="33"/>
  <c r="K25" i="35" s="1"/>
  <c r="K27" i="35" s="1"/>
  <c r="K28" i="35" s="1"/>
  <c r="I92" i="33"/>
  <c r="I25" i="35" s="1"/>
  <c r="I27" i="35" s="1"/>
  <c r="I28" i="35" s="1"/>
  <c r="G157" i="33"/>
  <c r="H13" i="25" l="1"/>
  <c r="G38" i="25" l="1"/>
  <c r="C11" i="25"/>
  <c r="CI6" i="9" l="1"/>
  <c r="CL17" i="9" s="1"/>
  <c r="G44" i="33"/>
  <c r="H31" i="33" s="1"/>
  <c r="C45" i="17"/>
  <c r="C23" i="23"/>
  <c r="CI11" i="9" l="1"/>
  <c r="G44" i="25" l="1"/>
  <c r="G45" i="25"/>
  <c r="G46" i="25"/>
  <c r="G47" i="25"/>
  <c r="D19" i="29"/>
  <c r="E38" i="25" l="1"/>
  <c r="D90" i="23"/>
  <c r="H38" i="25" l="1"/>
  <c r="H157" i="29" l="1"/>
  <c r="H158" i="29"/>
  <c r="H159" i="29"/>
  <c r="H160" i="29"/>
  <c r="H161" i="29"/>
  <c r="H162" i="29"/>
  <c r="H163" i="29"/>
  <c r="H164" i="29"/>
  <c r="H165" i="29"/>
  <c r="H166" i="29"/>
  <c r="H167" i="29"/>
  <c r="H168" i="29"/>
  <c r="H169" i="29"/>
  <c r="H170" i="29"/>
  <c r="H171" i="29"/>
  <c r="H172" i="29"/>
  <c r="H156" i="29"/>
  <c r="H77" i="29"/>
  <c r="H78" i="29"/>
  <c r="H79" i="29"/>
  <c r="H80" i="29"/>
  <c r="H81" i="29"/>
  <c r="H82" i="29"/>
  <c r="H83" i="29"/>
  <c r="H84" i="29"/>
  <c r="H85" i="29"/>
  <c r="H86" i="29"/>
  <c r="H87" i="29"/>
  <c r="H88" i="29"/>
  <c r="H89" i="29"/>
  <c r="H90" i="29"/>
  <c r="H91" i="29"/>
  <c r="H92" i="29"/>
  <c r="H93" i="29"/>
  <c r="H94" i="29"/>
  <c r="H95" i="29"/>
  <c r="H96" i="29"/>
  <c r="H97" i="29"/>
  <c r="H98" i="29"/>
  <c r="H99" i="29"/>
  <c r="H100" i="29"/>
  <c r="H101" i="29"/>
  <c r="H102" i="29"/>
  <c r="H103" i="29"/>
  <c r="H104" i="29"/>
  <c r="H105" i="29"/>
  <c r="H106" i="29"/>
  <c r="H107" i="29"/>
  <c r="H108" i="29"/>
  <c r="H109" i="29"/>
  <c r="H110" i="29"/>
  <c r="H111" i="29"/>
  <c r="H112" i="29"/>
  <c r="H113" i="29"/>
  <c r="H114" i="29"/>
  <c r="H115" i="29"/>
  <c r="H116" i="29"/>
  <c r="H117" i="29"/>
  <c r="H118" i="29"/>
  <c r="H119" i="29"/>
  <c r="H120" i="29"/>
  <c r="H121" i="29"/>
  <c r="H122" i="29"/>
  <c r="H123" i="29"/>
  <c r="H124" i="29"/>
  <c r="H125" i="29"/>
  <c r="H126" i="29"/>
  <c r="H127" i="29"/>
  <c r="H128" i="29"/>
  <c r="H129" i="29"/>
  <c r="H130" i="29"/>
  <c r="H131" i="29"/>
  <c r="H132" i="29"/>
  <c r="H133" i="29"/>
  <c r="H134" i="29"/>
  <c r="H135" i="29"/>
  <c r="H136" i="29"/>
  <c r="H137" i="29"/>
  <c r="H138" i="29"/>
  <c r="H139" i="29"/>
  <c r="H140" i="29"/>
  <c r="H141" i="29"/>
  <c r="H142" i="29"/>
  <c r="H143" i="29"/>
  <c r="H144" i="29"/>
  <c r="H145" i="29"/>
  <c r="H146" i="29"/>
  <c r="H147" i="29"/>
  <c r="H148" i="29"/>
  <c r="H149" i="29"/>
  <c r="H150" i="29"/>
  <c r="H151" i="29"/>
  <c r="H152" i="29"/>
  <c r="H153" i="29"/>
  <c r="H154" i="29"/>
  <c r="H76" i="29"/>
  <c r="H70" i="29"/>
  <c r="H69" i="29"/>
  <c r="H68" i="29"/>
  <c r="H67" i="29"/>
  <c r="H66" i="29"/>
  <c r="H65" i="29"/>
  <c r="H64" i="29"/>
  <c r="H63" i="29"/>
  <c r="H62" i="29"/>
  <c r="H61" i="29"/>
  <c r="H60" i="29"/>
  <c r="H59" i="29"/>
  <c r="H58" i="29"/>
  <c r="H57" i="29"/>
  <c r="H56" i="29"/>
  <c r="H55" i="29"/>
  <c r="H54" i="29"/>
  <c r="H53" i="29"/>
  <c r="H52" i="29"/>
  <c r="H50" i="29"/>
  <c r="H49" i="29"/>
  <c r="H48" i="29"/>
  <c r="H47" i="29"/>
  <c r="H37" i="29"/>
  <c r="H38" i="29"/>
  <c r="H39" i="29"/>
  <c r="H40" i="29"/>
  <c r="H41" i="29"/>
  <c r="H42" i="29"/>
  <c r="H43" i="29"/>
  <c r="H44" i="29"/>
  <c r="H45" i="29"/>
  <c r="H34" i="29"/>
  <c r="C155" i="29" l="1"/>
  <c r="C34" i="29"/>
  <c r="F34" i="29" s="1"/>
  <c r="C35" i="29"/>
  <c r="F35" i="29" s="1"/>
  <c r="C36" i="29"/>
  <c r="F36" i="29" s="1"/>
  <c r="C37" i="29"/>
  <c r="F37" i="29" s="1"/>
  <c r="C38" i="29"/>
  <c r="F38" i="29" s="1"/>
  <c r="C39" i="29"/>
  <c r="F39" i="29" s="1"/>
  <c r="C40" i="29"/>
  <c r="F40" i="29" s="1"/>
  <c r="C41" i="29"/>
  <c r="F41" i="29" s="1"/>
  <c r="C42" i="29"/>
  <c r="F42" i="29" s="1"/>
  <c r="C43" i="29"/>
  <c r="F43" i="29" s="1"/>
  <c r="C44" i="29"/>
  <c r="F44" i="29" s="1"/>
  <c r="C45" i="29"/>
  <c r="F45" i="29" s="1"/>
  <c r="C46" i="29"/>
  <c r="C47" i="29"/>
  <c r="F47" i="29" s="1"/>
  <c r="C48" i="29"/>
  <c r="F48" i="29" s="1"/>
  <c r="C49" i="29"/>
  <c r="F49" i="29" s="1"/>
  <c r="C50" i="29"/>
  <c r="F50" i="29" s="1"/>
  <c r="C51" i="29"/>
  <c r="C52" i="29"/>
  <c r="F52" i="29" s="1"/>
  <c r="C53" i="29"/>
  <c r="F53" i="29" s="1"/>
  <c r="C54" i="29"/>
  <c r="F54" i="29" s="1"/>
  <c r="C55" i="29"/>
  <c r="F55" i="29" s="1"/>
  <c r="C56" i="29"/>
  <c r="F56" i="29" s="1"/>
  <c r="C57" i="29"/>
  <c r="F57" i="29" s="1"/>
  <c r="C58" i="29"/>
  <c r="F58" i="29" s="1"/>
  <c r="C59" i="29"/>
  <c r="F59" i="29" s="1"/>
  <c r="C60" i="29"/>
  <c r="F60" i="29" s="1"/>
  <c r="C61" i="29"/>
  <c r="F61" i="29" s="1"/>
  <c r="C62" i="29"/>
  <c r="F62" i="29" s="1"/>
  <c r="C63" i="29"/>
  <c r="F63" i="29" s="1"/>
  <c r="C64" i="29"/>
  <c r="F64" i="29" s="1"/>
  <c r="C65" i="29"/>
  <c r="F65" i="29" s="1"/>
  <c r="C66" i="29"/>
  <c r="F66" i="29" s="1"/>
  <c r="C67" i="29"/>
  <c r="F67" i="29" s="1"/>
  <c r="C68" i="29"/>
  <c r="F68" i="29" s="1"/>
  <c r="C69" i="29"/>
  <c r="F69" i="29" s="1"/>
  <c r="C70" i="29"/>
  <c r="F70" i="29" s="1"/>
  <c r="FL99" i="9"/>
  <c r="FI99" i="9"/>
  <c r="C172" i="29" s="1"/>
  <c r="FL98" i="9"/>
  <c r="FI98" i="9"/>
  <c r="C171" i="29" s="1"/>
  <c r="FL97" i="9"/>
  <c r="FI97" i="9"/>
  <c r="C170" i="29" s="1"/>
  <c r="FL96" i="9"/>
  <c r="FI96" i="9"/>
  <c r="C169" i="29" s="1"/>
  <c r="FL95" i="9"/>
  <c r="FI95" i="9"/>
  <c r="C168" i="29" s="1"/>
  <c r="FL94" i="9"/>
  <c r="FI94" i="9"/>
  <c r="C167" i="29" s="1"/>
  <c r="FL93" i="9"/>
  <c r="FI93" i="9"/>
  <c r="C166" i="29" s="1"/>
  <c r="FL92" i="9"/>
  <c r="FI92" i="9"/>
  <c r="C165" i="29" s="1"/>
  <c r="FL91" i="9"/>
  <c r="FI91" i="9"/>
  <c r="C164" i="29" s="1"/>
  <c r="FL90" i="9"/>
  <c r="FI90" i="9"/>
  <c r="C163" i="29" s="1"/>
  <c r="FL89" i="9"/>
  <c r="FI89" i="9"/>
  <c r="C162" i="29" s="1"/>
  <c r="FL88" i="9"/>
  <c r="FI88" i="9"/>
  <c r="C161" i="29" s="1"/>
  <c r="FL87" i="9"/>
  <c r="FI87" i="9"/>
  <c r="C160" i="29" s="1"/>
  <c r="FL86" i="9"/>
  <c r="FI86" i="9"/>
  <c r="C159" i="29" s="1"/>
  <c r="FL85" i="9"/>
  <c r="FI85" i="9"/>
  <c r="C158" i="29" s="1"/>
  <c r="FL84" i="9"/>
  <c r="FI84" i="9"/>
  <c r="C157" i="29" s="1"/>
  <c r="FL83" i="9"/>
  <c r="FI83" i="9"/>
  <c r="C156" i="29" s="1"/>
  <c r="FL81" i="9"/>
  <c r="FI81" i="9"/>
  <c r="C154" i="29" s="1"/>
  <c r="FL80" i="9"/>
  <c r="FI80" i="9"/>
  <c r="C153" i="29" s="1"/>
  <c r="FL79" i="9"/>
  <c r="FI79" i="9"/>
  <c r="C152" i="29" s="1"/>
  <c r="FL78" i="9"/>
  <c r="FI78" i="9"/>
  <c r="C151" i="29" s="1"/>
  <c r="FL77" i="9"/>
  <c r="FI77" i="9"/>
  <c r="C150" i="29" s="1"/>
  <c r="FL76" i="9"/>
  <c r="FI76" i="9"/>
  <c r="C149" i="29" s="1"/>
  <c r="FL75" i="9"/>
  <c r="FI75" i="9"/>
  <c r="C148" i="29" s="1"/>
  <c r="FL74" i="9"/>
  <c r="FI74" i="9"/>
  <c r="C147" i="29" s="1"/>
  <c r="FL73" i="9"/>
  <c r="FI73" i="9"/>
  <c r="C146" i="29" s="1"/>
  <c r="FL72" i="9"/>
  <c r="FI72" i="9"/>
  <c r="C145" i="29" s="1"/>
  <c r="FL71" i="9"/>
  <c r="FI71" i="9"/>
  <c r="C144" i="29" s="1"/>
  <c r="FL70" i="9"/>
  <c r="FI70" i="9"/>
  <c r="C143" i="29" s="1"/>
  <c r="FL69" i="9"/>
  <c r="FI69" i="9"/>
  <c r="C142" i="29" s="1"/>
  <c r="FL68" i="9"/>
  <c r="FI68" i="9"/>
  <c r="C141" i="29" s="1"/>
  <c r="FL67" i="9"/>
  <c r="FI67" i="9"/>
  <c r="C140" i="29" s="1"/>
  <c r="FL66" i="9"/>
  <c r="FI66" i="9"/>
  <c r="C139" i="29" s="1"/>
  <c r="FL65" i="9"/>
  <c r="FI65" i="9"/>
  <c r="C138" i="29" s="1"/>
  <c r="FL64" i="9"/>
  <c r="FI64" i="9"/>
  <c r="C137" i="29" s="1"/>
  <c r="FL63" i="9"/>
  <c r="FI63" i="9"/>
  <c r="C136" i="29" s="1"/>
  <c r="FL62" i="9"/>
  <c r="FI62" i="9"/>
  <c r="C135" i="29" s="1"/>
  <c r="FL61" i="9"/>
  <c r="FI61" i="9"/>
  <c r="C134" i="29" s="1"/>
  <c r="FL60" i="9"/>
  <c r="FI60" i="9"/>
  <c r="C133" i="29" s="1"/>
  <c r="FL59" i="9"/>
  <c r="FI59" i="9"/>
  <c r="C132" i="29" s="1"/>
  <c r="FL58" i="9"/>
  <c r="FI58" i="9"/>
  <c r="C131" i="29" s="1"/>
  <c r="FL57" i="9"/>
  <c r="FI57" i="9"/>
  <c r="C130" i="29" s="1"/>
  <c r="FL56" i="9"/>
  <c r="FI56" i="9"/>
  <c r="C129" i="29" s="1"/>
  <c r="FL55" i="9"/>
  <c r="FI55" i="9"/>
  <c r="C128" i="29" s="1"/>
  <c r="FL54" i="9"/>
  <c r="FI54" i="9"/>
  <c r="C127" i="29" s="1"/>
  <c r="FL53" i="9"/>
  <c r="FI53" i="9"/>
  <c r="C126" i="29" s="1"/>
  <c r="FL52" i="9"/>
  <c r="FI52" i="9"/>
  <c r="C125" i="29" s="1"/>
  <c r="FL51" i="9"/>
  <c r="FI51" i="9"/>
  <c r="C124" i="29" s="1"/>
  <c r="FL50" i="9"/>
  <c r="FI50" i="9"/>
  <c r="C123" i="29" s="1"/>
  <c r="FL49" i="9"/>
  <c r="FI49" i="9"/>
  <c r="C122" i="29" s="1"/>
  <c r="FL48" i="9"/>
  <c r="FI48" i="9"/>
  <c r="C121" i="29" s="1"/>
  <c r="FL47" i="9"/>
  <c r="FI47" i="9"/>
  <c r="C120" i="29" s="1"/>
  <c r="FL46" i="9"/>
  <c r="FI46" i="9"/>
  <c r="C119" i="29" s="1"/>
  <c r="FL45" i="9"/>
  <c r="FI45" i="9"/>
  <c r="C118" i="29" s="1"/>
  <c r="FL44" i="9"/>
  <c r="FI44" i="9"/>
  <c r="C117" i="29" s="1"/>
  <c r="FL43" i="9"/>
  <c r="FI43" i="9"/>
  <c r="C116" i="29" s="1"/>
  <c r="FL42" i="9"/>
  <c r="FI42" i="9"/>
  <c r="C115" i="29" s="1"/>
  <c r="FL41" i="9"/>
  <c r="FI41" i="9"/>
  <c r="C114" i="29" s="1"/>
  <c r="FL40" i="9"/>
  <c r="FI40" i="9"/>
  <c r="C113" i="29" s="1"/>
  <c r="FL39" i="9"/>
  <c r="FI39" i="9"/>
  <c r="C112" i="29" s="1"/>
  <c r="FL38" i="9"/>
  <c r="FI38" i="9"/>
  <c r="C111" i="29" s="1"/>
  <c r="FL37" i="9"/>
  <c r="FI37" i="9"/>
  <c r="C110" i="29" s="1"/>
  <c r="FL36" i="9"/>
  <c r="FI36" i="9"/>
  <c r="C109" i="29" s="1"/>
  <c r="FL35" i="9"/>
  <c r="FI35" i="9"/>
  <c r="C108" i="29" s="1"/>
  <c r="FL34" i="9"/>
  <c r="FI34" i="9"/>
  <c r="C107" i="29" s="1"/>
  <c r="FL33" i="9"/>
  <c r="FI33" i="9"/>
  <c r="C106" i="29" s="1"/>
  <c r="FL32" i="9"/>
  <c r="FI32" i="9"/>
  <c r="C105" i="29" s="1"/>
  <c r="FL31" i="9"/>
  <c r="FI31" i="9"/>
  <c r="C104" i="29" s="1"/>
  <c r="FL30" i="9"/>
  <c r="FI30" i="9"/>
  <c r="C103" i="29" s="1"/>
  <c r="FL29" i="9"/>
  <c r="FI29" i="9"/>
  <c r="C102" i="29" s="1"/>
  <c r="FL28" i="9"/>
  <c r="FI28" i="9"/>
  <c r="C101" i="29" s="1"/>
  <c r="FL27" i="9"/>
  <c r="FI27" i="9"/>
  <c r="C100" i="29" s="1"/>
  <c r="FL26" i="9"/>
  <c r="FI26" i="9"/>
  <c r="C99" i="29" s="1"/>
  <c r="FL25" i="9"/>
  <c r="FI25" i="9"/>
  <c r="C98" i="29" s="1"/>
  <c r="FL24" i="9"/>
  <c r="FI24" i="9"/>
  <c r="C97" i="29" s="1"/>
  <c r="FL23" i="9"/>
  <c r="FI23" i="9"/>
  <c r="C96" i="29" s="1"/>
  <c r="FL22" i="9"/>
  <c r="FI22" i="9"/>
  <c r="C95" i="29" s="1"/>
  <c r="FL21" i="9"/>
  <c r="FI21" i="9"/>
  <c r="C94" i="29" s="1"/>
  <c r="FL20" i="9"/>
  <c r="FI20" i="9"/>
  <c r="C93" i="29" s="1"/>
  <c r="FL19" i="9"/>
  <c r="FI19" i="9"/>
  <c r="C92" i="29" s="1"/>
  <c r="FL18" i="9"/>
  <c r="FI18" i="9"/>
  <c r="C91" i="29" s="1"/>
  <c r="FL17" i="9"/>
  <c r="FI17" i="9"/>
  <c r="C90" i="29" s="1"/>
  <c r="FL16" i="9"/>
  <c r="FI16" i="9"/>
  <c r="C89" i="29" s="1"/>
  <c r="FL15" i="9"/>
  <c r="FI15" i="9"/>
  <c r="C88" i="29" s="1"/>
  <c r="FL14" i="9"/>
  <c r="FI14" i="9"/>
  <c r="C87" i="29" s="1"/>
  <c r="FL13" i="9"/>
  <c r="FI13" i="9"/>
  <c r="C86" i="29" s="1"/>
  <c r="FL12" i="9"/>
  <c r="FI12" i="9"/>
  <c r="C85" i="29" s="1"/>
  <c r="FL11" i="9"/>
  <c r="FI11" i="9"/>
  <c r="C84" i="29" s="1"/>
  <c r="FL10" i="9"/>
  <c r="FI10" i="9"/>
  <c r="C83" i="29" s="1"/>
  <c r="FL9" i="9"/>
  <c r="FI9" i="9"/>
  <c r="C82" i="29" s="1"/>
  <c r="FL8" i="9"/>
  <c r="FI8" i="9"/>
  <c r="C81" i="29" s="1"/>
  <c r="FL7" i="9"/>
  <c r="FI7" i="9"/>
  <c r="C80" i="29" s="1"/>
  <c r="FL6" i="9"/>
  <c r="FI6" i="9"/>
  <c r="C79" i="29" s="1"/>
  <c r="FL5" i="9"/>
  <c r="FI5" i="9"/>
  <c r="C78" i="29" s="1"/>
  <c r="FL4" i="9"/>
  <c r="FI4" i="9"/>
  <c r="C77" i="29" s="1"/>
  <c r="FL3" i="9"/>
  <c r="FI3" i="9"/>
  <c r="EX35" i="9"/>
  <c r="EX36" i="9"/>
  <c r="EX37" i="9"/>
  <c r="C75" i="29"/>
  <c r="CN9" i="9" a="1"/>
  <c r="F126" i="29" l="1"/>
  <c r="F124" i="29"/>
  <c r="F125" i="29"/>
  <c r="F128" i="29"/>
  <c r="F127" i="29"/>
  <c r="CN9" i="9"/>
  <c r="E164" i="33" l="1"/>
  <c r="H157" i="33" s="1"/>
  <c r="I260" i="33" l="1"/>
  <c r="I14" i="33"/>
  <c r="CI35" i="9"/>
  <c r="CI34" i="9"/>
  <c r="CI33" i="9"/>
  <c r="CI32" i="9"/>
  <c r="CI31" i="9"/>
  <c r="CI30" i="9"/>
  <c r="CI29" i="9"/>
  <c r="F189" i="33" l="1"/>
  <c r="CJ30" i="9" l="1"/>
  <c r="CL30" i="9" s="1"/>
  <c r="CJ33" i="9"/>
  <c r="CL33" i="9" s="1"/>
  <c r="CJ32" i="9"/>
  <c r="CL32" i="9" s="1"/>
  <c r="J139" i="33"/>
  <c r="J138" i="33"/>
  <c r="J137" i="33"/>
  <c r="EA16" i="9"/>
  <c r="DZ16" i="9"/>
  <c r="DY16" i="9"/>
  <c r="DX16" i="9"/>
  <c r="DW16" i="9"/>
  <c r="DV16" i="9"/>
  <c r="DU16" i="9"/>
  <c r="CJ31" i="9"/>
  <c r="CL31" i="9" s="1"/>
  <c r="G108" i="33"/>
  <c r="DT16" i="9"/>
  <c r="DP21" i="9"/>
  <c r="DQ21" i="9"/>
  <c r="DR21" i="9"/>
  <c r="DS21" i="9"/>
  <c r="DT21" i="9"/>
  <c r="DP17" i="9"/>
  <c r="DQ17" i="9"/>
  <c r="DR17" i="9"/>
  <c r="DS17" i="9"/>
  <c r="DT17" i="9"/>
  <c r="DP18" i="9"/>
  <c r="DQ18" i="9"/>
  <c r="DR18" i="9"/>
  <c r="DS18" i="9"/>
  <c r="DT18" i="9"/>
  <c r="DP19" i="9"/>
  <c r="DQ19" i="9"/>
  <c r="DR19" i="9"/>
  <c r="DS19" i="9"/>
  <c r="DV19" i="9" s="1"/>
  <c r="DT19" i="9"/>
  <c r="DP20" i="9"/>
  <c r="DQ20" i="9"/>
  <c r="DR20" i="9"/>
  <c r="DS20" i="9"/>
  <c r="DT20" i="9"/>
  <c r="DQ16" i="9"/>
  <c r="DR16" i="9"/>
  <c r="DS16" i="9"/>
  <c r="DP16" i="9"/>
  <c r="DT8" i="9" l="1"/>
  <c r="F77" i="35" s="1"/>
  <c r="DT7" i="9"/>
  <c r="F76" i="35" s="1"/>
  <c r="DT6" i="9"/>
  <c r="F75" i="35" s="1"/>
  <c r="DT3" i="9"/>
  <c r="DT4" i="9"/>
  <c r="DT5" i="9"/>
  <c r="K73" i="35" s="1"/>
  <c r="DV2" i="9"/>
  <c r="DT2" i="9" s="1"/>
  <c r="L103" i="35" l="1"/>
  <c r="F82" i="35" s="1"/>
  <c r="F73" i="35"/>
  <c r="L104" i="35"/>
  <c r="F83" i="35" s="1"/>
  <c r="L102" i="35"/>
  <c r="F84" i="35" s="1"/>
  <c r="L100" i="35"/>
  <c r="F85" i="35" s="1"/>
  <c r="F74" i="35"/>
  <c r="L159" i="35"/>
  <c r="L201" i="35"/>
  <c r="L200" i="35"/>
  <c r="L199" i="35"/>
  <c r="L101" i="35"/>
  <c r="F86" i="35" s="1"/>
  <c r="L158" i="35"/>
  <c r="K74" i="35"/>
  <c r="DU17" i="9"/>
  <c r="EB17" i="9" s="1"/>
  <c r="DV20" i="9"/>
  <c r="DX21" i="9"/>
  <c r="DV18" i="9"/>
  <c r="DV21" i="9"/>
  <c r="DX18" i="9"/>
  <c r="DX17" i="9"/>
  <c r="DX20" i="9"/>
  <c r="DV17" i="9"/>
  <c r="DX19" i="9"/>
  <c r="EB19" i="9" s="1"/>
  <c r="DZ17" i="9"/>
  <c r="DZ20" i="9"/>
  <c r="DZ19" i="9"/>
  <c r="DZ21" i="9"/>
  <c r="DZ18" i="9"/>
  <c r="EA21" i="9"/>
  <c r="EA18" i="9"/>
  <c r="EA19" i="9"/>
  <c r="EA17" i="9"/>
  <c r="EA20" i="9"/>
  <c r="DW18" i="9"/>
  <c r="DW21" i="9"/>
  <c r="DW19" i="9"/>
  <c r="DW20" i="9"/>
  <c r="DW17" i="9"/>
  <c r="DU19" i="9"/>
  <c r="DU18" i="9"/>
  <c r="DU21" i="9"/>
  <c r="DU20" i="9"/>
  <c r="DY21" i="9"/>
  <c r="DY18" i="9"/>
  <c r="DY17" i="9"/>
  <c r="DY19" i="9"/>
  <c r="DY20" i="9"/>
  <c r="G265" i="33"/>
  <c r="G178" i="33"/>
  <c r="L161" i="35" l="1"/>
  <c r="G133" i="35" s="1"/>
  <c r="L202" i="35"/>
  <c r="I133" i="35" s="1"/>
  <c r="EB21" i="9"/>
  <c r="H119" i="33" s="1"/>
  <c r="E86" i="35" s="1"/>
  <c r="G86" i="35" s="1"/>
  <c r="H86" i="35" s="1"/>
  <c r="H117" i="33"/>
  <c r="E84" i="35" s="1"/>
  <c r="EB18" i="9"/>
  <c r="H116" i="33" s="1"/>
  <c r="E83" i="35" s="1"/>
  <c r="G83" i="35" s="1"/>
  <c r="H83" i="35" s="1"/>
  <c r="EB20" i="9"/>
  <c r="H118" i="33" s="1"/>
  <c r="E85" i="35" s="1"/>
  <c r="G85" i="35" s="1"/>
  <c r="H85" i="35" s="1"/>
  <c r="H115" i="33"/>
  <c r="E82" i="35" s="1"/>
  <c r="G72" i="33"/>
  <c r="G26" i="33"/>
  <c r="J133" i="35" l="1"/>
  <c r="G84" i="35"/>
  <c r="H84" i="35" s="1"/>
  <c r="G82" i="35"/>
  <c r="H82" i="35" s="1"/>
  <c r="FI103" i="9"/>
  <c r="FI104" i="9"/>
  <c r="FI105" i="9"/>
  <c r="FI106" i="9"/>
  <c r="FI107" i="9"/>
  <c r="FI108" i="9"/>
  <c r="FI109" i="9"/>
  <c r="FI110" i="9"/>
  <c r="FI111" i="9"/>
  <c r="FI112" i="9"/>
  <c r="FI113" i="9"/>
  <c r="FI114" i="9"/>
  <c r="FI115" i="9"/>
  <c r="FI116" i="9"/>
  <c r="FI117" i="9"/>
  <c r="FI118" i="9"/>
  <c r="FI119" i="9"/>
  <c r="FI120" i="9"/>
  <c r="FI121" i="9"/>
  <c r="FI122" i="9"/>
  <c r="FI123" i="9"/>
  <c r="FI124" i="9"/>
  <c r="FI125" i="9"/>
  <c r="FI126" i="9"/>
  <c r="FI127" i="9"/>
  <c r="FI128" i="9"/>
  <c r="FI129" i="9"/>
  <c r="FI130" i="9"/>
  <c r="FI131" i="9"/>
  <c r="FI132" i="9"/>
  <c r="FI133" i="9"/>
  <c r="FI134" i="9"/>
  <c r="FI135" i="9"/>
  <c r="FI136" i="9"/>
  <c r="FI137" i="9"/>
  <c r="FI138" i="9"/>
  <c r="FI139" i="9"/>
  <c r="FI140" i="9"/>
  <c r="FI141" i="9"/>
  <c r="FI142" i="9"/>
  <c r="FI143" i="9"/>
  <c r="FI144" i="9"/>
  <c r="FI145" i="9"/>
  <c r="FI146" i="9"/>
  <c r="FI147" i="9"/>
  <c r="FI148" i="9"/>
  <c r="FI149" i="9"/>
  <c r="FI150" i="9"/>
  <c r="FI151" i="9"/>
  <c r="FI152" i="9"/>
  <c r="FI153" i="9"/>
  <c r="FI154" i="9"/>
  <c r="FI155" i="9"/>
  <c r="FI156" i="9"/>
  <c r="FI157" i="9"/>
  <c r="FI158" i="9"/>
  <c r="FI159" i="9"/>
  <c r="FI160" i="9"/>
  <c r="FI161" i="9"/>
  <c r="FI162" i="9"/>
  <c r="FI163" i="9"/>
  <c r="FI164" i="9"/>
  <c r="FI165" i="9"/>
  <c r="FI166" i="9"/>
  <c r="FI167" i="9"/>
  <c r="FI168" i="9"/>
  <c r="FI169" i="9"/>
  <c r="FI102" i="9"/>
  <c r="C76" i="29"/>
  <c r="F76" i="29" s="1"/>
  <c r="FL169" i="9"/>
  <c r="FL168" i="9"/>
  <c r="FL167" i="9"/>
  <c r="FL166" i="9"/>
  <c r="FL165" i="9"/>
  <c r="FL164" i="9"/>
  <c r="FL163" i="9"/>
  <c r="FL162" i="9"/>
  <c r="FL161" i="9"/>
  <c r="FL160" i="9"/>
  <c r="FL159" i="9"/>
  <c r="FL158" i="9"/>
  <c r="FL157" i="9"/>
  <c r="FL156" i="9"/>
  <c r="FL155" i="9"/>
  <c r="FL154" i="9"/>
  <c r="FL153" i="9"/>
  <c r="FL152" i="9"/>
  <c r="FL151" i="9"/>
  <c r="FL150" i="9"/>
  <c r="FL149" i="9"/>
  <c r="FL148" i="9"/>
  <c r="FL147" i="9"/>
  <c r="FL145" i="9"/>
  <c r="FL144" i="9"/>
  <c r="FL143" i="9"/>
  <c r="FL142" i="9"/>
  <c r="FL141" i="9"/>
  <c r="FL146" i="9"/>
  <c r="FL140" i="9"/>
  <c r="FL139" i="9"/>
  <c r="FL138" i="9"/>
  <c r="FL137" i="9"/>
  <c r="FL136" i="9"/>
  <c r="FL135" i="9"/>
  <c r="FL134" i="9"/>
  <c r="FL133" i="9"/>
  <c r="FL132" i="9"/>
  <c r="FL131" i="9"/>
  <c r="FL130" i="9"/>
  <c r="FL129" i="9"/>
  <c r="FL128" i="9"/>
  <c r="FL127" i="9"/>
  <c r="FL126" i="9"/>
  <c r="FL125" i="9"/>
  <c r="FL124" i="9"/>
  <c r="FL123" i="9"/>
  <c r="FL122" i="9"/>
  <c r="FL121" i="9"/>
  <c r="FL120" i="9"/>
  <c r="FL119" i="9"/>
  <c r="FL118" i="9"/>
  <c r="FL117" i="9"/>
  <c r="FL116" i="9"/>
  <c r="FL115" i="9"/>
  <c r="FL114" i="9"/>
  <c r="FL113" i="9"/>
  <c r="FL112" i="9"/>
  <c r="FL111" i="9"/>
  <c r="FL110" i="9"/>
  <c r="FL109" i="9"/>
  <c r="FL108" i="9"/>
  <c r="FL107" i="9"/>
  <c r="FL106" i="9"/>
  <c r="FL105" i="9"/>
  <c r="FL104" i="9"/>
  <c r="FL103" i="9"/>
  <c r="FL102" i="9"/>
  <c r="CJ29" i="9" l="1"/>
  <c r="CL29" i="9" s="1"/>
  <c r="F159" i="29"/>
  <c r="F171" i="29"/>
  <c r="F157" i="29"/>
  <c r="F169" i="29"/>
  <c r="F99" i="29"/>
  <c r="F168" i="29"/>
  <c r="F154" i="29"/>
  <c r="F140" i="29"/>
  <c r="F112" i="29"/>
  <c r="F98" i="29"/>
  <c r="F84" i="29"/>
  <c r="F167" i="29"/>
  <c r="F153" i="29"/>
  <c r="F139" i="29"/>
  <c r="F111" i="29"/>
  <c r="F97" i="29"/>
  <c r="F83" i="29"/>
  <c r="F165" i="29"/>
  <c r="F151" i="29"/>
  <c r="F123" i="29"/>
  <c r="F95" i="29"/>
  <c r="F81" i="29"/>
  <c r="F163" i="29"/>
  <c r="F149" i="29"/>
  <c r="F135" i="29"/>
  <c r="F121" i="29"/>
  <c r="F107" i="29"/>
  <c r="F93" i="29"/>
  <c r="F79" i="29"/>
  <c r="F162" i="29"/>
  <c r="F148" i="29"/>
  <c r="F134" i="29"/>
  <c r="F120" i="29"/>
  <c r="F106" i="29"/>
  <c r="F92" i="29"/>
  <c r="F78" i="29"/>
  <c r="F145" i="29"/>
  <c r="F131" i="29"/>
  <c r="F172" i="29"/>
  <c r="F144" i="29"/>
  <c r="F116" i="29"/>
  <c r="F88" i="29"/>
  <c r="F115" i="29"/>
  <c r="F101" i="29"/>
  <c r="F87" i="29"/>
  <c r="F170" i="29"/>
  <c r="F156" i="29"/>
  <c r="F142" i="29"/>
  <c r="F100" i="29"/>
  <c r="F86" i="29"/>
  <c r="F150" i="29"/>
  <c r="F118" i="29"/>
  <c r="F122" i="29"/>
  <c r="F146" i="29"/>
  <c r="F164" i="29"/>
  <c r="F108" i="29"/>
  <c r="F136" i="29"/>
  <c r="F104" i="29"/>
  <c r="F80" i="29"/>
  <c r="F160" i="29"/>
  <c r="F102" i="29"/>
  <c r="F77" i="29"/>
  <c r="F158" i="29"/>
  <c r="F113" i="29"/>
  <c r="F114" i="29"/>
  <c r="F103" i="29"/>
  <c r="F161" i="29"/>
  <c r="F85" i="29"/>
  <c r="F117" i="29"/>
  <c r="F141" i="29"/>
  <c r="F143" i="29"/>
  <c r="F96" i="29"/>
  <c r="F132" i="29"/>
  <c r="F130" i="29"/>
  <c r="F110" i="29"/>
  <c r="F90" i="29"/>
  <c r="F147" i="29"/>
  <c r="F129" i="29"/>
  <c r="F109" i="29"/>
  <c r="F89" i="29"/>
  <c r="F133" i="29"/>
  <c r="F152" i="29"/>
  <c r="F166" i="29"/>
  <c r="F94" i="29"/>
  <c r="F105" i="29"/>
  <c r="F137" i="29"/>
  <c r="F91" i="29"/>
  <c r="F82" i="29"/>
  <c r="F119" i="29"/>
  <c r="F138" i="29"/>
  <c r="H212" i="29"/>
  <c r="F212" i="29"/>
  <c r="H211" i="29"/>
  <c r="F211" i="29"/>
  <c r="H207" i="29"/>
  <c r="F207" i="29"/>
  <c r="H206" i="29"/>
  <c r="F206" i="29"/>
  <c r="H194" i="29"/>
  <c r="F194" i="29"/>
  <c r="H193" i="29"/>
  <c r="F193" i="29"/>
  <c r="H189" i="29"/>
  <c r="F189" i="29"/>
  <c r="H188" i="29"/>
  <c r="F188" i="29"/>
  <c r="EX38" i="9"/>
  <c r="C33" i="29" l="1"/>
  <c r="EX6" i="9"/>
  <c r="EX27" i="9"/>
  <c r="EX24" i="9"/>
  <c r="EX3" i="9"/>
  <c r="EX29" i="9"/>
  <c r="EX39" i="9"/>
  <c r="EX34" i="9"/>
  <c r="EX33" i="9"/>
  <c r="EX32" i="9"/>
  <c r="EX26" i="9"/>
  <c r="EX28" i="9"/>
  <c r="EX25" i="9"/>
  <c r="EX23" i="9"/>
  <c r="EX22" i="9"/>
  <c r="EX21" i="9"/>
  <c r="EX17" i="9"/>
  <c r="EX19" i="9"/>
  <c r="EX18" i="9"/>
  <c r="EX16" i="9"/>
  <c r="EX14" i="9"/>
  <c r="EX13" i="9"/>
  <c r="EX12" i="9"/>
  <c r="EX10" i="9"/>
  <c r="EX9" i="9"/>
  <c r="EX8" i="9"/>
  <c r="EX7" i="9"/>
  <c r="EX11" i="9"/>
  <c r="EX5" i="9"/>
  <c r="H36" i="29" s="1"/>
  <c r="EX4" i="9"/>
  <c r="H35" i="29" s="1"/>
  <c r="EX31" i="9"/>
  <c r="EX30" i="9"/>
  <c r="DM3" i="9"/>
  <c r="DM4" i="9"/>
  <c r="DM5" i="9"/>
  <c r="DM6" i="9"/>
  <c r="DM7" i="9"/>
  <c r="DM8" i="9"/>
  <c r="DM9" i="9"/>
  <c r="DM10" i="9"/>
  <c r="DM11" i="9"/>
  <c r="DM12" i="9"/>
  <c r="DM13" i="9"/>
  <c r="DM14" i="9"/>
  <c r="DM15" i="9"/>
  <c r="DM16" i="9"/>
  <c r="DM17" i="9"/>
  <c r="DM18" i="9"/>
  <c r="DM19" i="9"/>
  <c r="DM20" i="9"/>
  <c r="DM21" i="9"/>
  <c r="DM22" i="9"/>
  <c r="DM1048576" i="9"/>
  <c r="DM2" i="9"/>
  <c r="K42" i="35" l="1"/>
  <c r="L42" i="35" s="1"/>
  <c r="K43" i="35"/>
  <c r="L43" i="35" s="1"/>
  <c r="K41" i="35"/>
  <c r="H26" i="29"/>
  <c r="H82" i="25" s="1"/>
  <c r="H25" i="29"/>
  <c r="CI8" i="9"/>
  <c r="CI7" i="9"/>
  <c r="CI5" i="9"/>
  <c r="CL16" i="9" s="1"/>
  <c r="CI4" i="9"/>
  <c r="CI3" i="9"/>
  <c r="CM8" i="9" s="1"/>
  <c r="E24" i="25" s="1"/>
  <c r="CI9" i="9"/>
  <c r="E52" i="25" l="1"/>
  <c r="CI18" i="9"/>
  <c r="L41" i="35"/>
  <c r="K48" i="35"/>
  <c r="L48" i="35" s="1"/>
  <c r="H81" i="25"/>
  <c r="CL18" i="9"/>
  <c r="G278" i="33"/>
  <c r="I278" i="33" s="1"/>
  <c r="CL15" i="9"/>
  <c r="CN3" i="9" a="1"/>
  <c r="CN5" i="9" a="1"/>
  <c r="CN6" i="9" a="1"/>
  <c r="CN8" i="9" a="1"/>
  <c r="CN7" i="9" a="1"/>
  <c r="CN3" i="9" l="1"/>
  <c r="CN5" i="9"/>
  <c r="CN6" i="9"/>
  <c r="CN7" i="9"/>
  <c r="CN8" i="9"/>
  <c r="BT4" i="9" l="1"/>
  <c r="F71" i="23" l="1"/>
  <c r="F66" i="23"/>
  <c r="F69" i="23"/>
  <c r="F76" i="23"/>
  <c r="F68" i="23"/>
  <c r="F74" i="23"/>
  <c r="F80" i="23"/>
  <c r="F75" i="23"/>
  <c r="F67" i="23"/>
  <c r="F73" i="23"/>
  <c r="F72" i="23"/>
  <c r="F70" i="23"/>
  <c r="E65" i="25" l="1"/>
  <c r="H65" i="25"/>
  <c r="G65" i="25"/>
  <c r="E63" i="25"/>
  <c r="G63" i="25"/>
  <c r="H63" i="25"/>
  <c r="G48" i="25"/>
  <c r="H141" i="33"/>
  <c r="J134" i="35" s="1"/>
  <c r="E64" i="25"/>
  <c r="H64" i="25"/>
  <c r="G64" i="25"/>
  <c r="H62" i="25"/>
  <c r="E62" i="25"/>
  <c r="G62" i="25"/>
  <c r="K133" i="35" l="1"/>
  <c r="J135" i="35"/>
  <c r="G66" i="25"/>
  <c r="H48" i="25"/>
  <c r="E48" i="25"/>
  <c r="E66" i="25"/>
  <c r="H66" i="25"/>
  <c r="CJ16" i="9" s="1"/>
  <c r="E56" i="25"/>
  <c r="D87" i="35" l="1"/>
  <c r="F87" i="35"/>
  <c r="E87" i="35"/>
  <c r="CJ14" i="9"/>
  <c r="CJ15" i="9"/>
  <c r="CM4" i="9" s="1"/>
  <c r="E73" i="25"/>
  <c r="I259" i="33"/>
  <c r="I261" i="33" s="1"/>
  <c r="G283" i="33"/>
  <c r="I283" i="33" s="1"/>
  <c r="CI15" i="9"/>
  <c r="CI14" i="9"/>
  <c r="CI16" i="9"/>
  <c r="G56" i="25"/>
  <c r="J136" i="35" l="1"/>
  <c r="CM3" i="9"/>
  <c r="CM5" i="9"/>
  <c r="CL22" i="9" s="1"/>
  <c r="H27" i="29"/>
  <c r="H83" i="25" s="1"/>
  <c r="G52" i="25"/>
  <c r="H56" i="25"/>
  <c r="CL23" i="9" l="1"/>
  <c r="G32" i="25"/>
  <c r="E76" i="25"/>
  <c r="H52" i="25"/>
  <c r="CL20" i="9"/>
  <c r="CL19" i="9"/>
  <c r="E32" i="25"/>
  <c r="H15" i="25"/>
  <c r="E74" i="25" s="1"/>
  <c r="H265" i="33" l="1"/>
  <c r="CJ35" i="9" s="1"/>
  <c r="CL35" i="9" s="1"/>
  <c r="E27" i="25"/>
  <c r="E33" i="25"/>
  <c r="G33" i="25" l="1"/>
  <c r="D43" i="17"/>
  <c r="E75" i="25" s="1"/>
  <c r="I245" i="33" l="1"/>
  <c r="I207" i="33" s="1"/>
  <c r="H178" i="33" l="1"/>
  <c r="CJ34" i="9" s="1"/>
  <c r="CL34" i="9" s="1"/>
  <c r="CJ36" i="9" s="1"/>
  <c r="CM9" i="9" l="1"/>
  <c r="CM6" i="9" s="1"/>
  <c r="CL25" i="9"/>
  <c r="CM26" i="9" s="1"/>
  <c r="E89" i="25"/>
  <c r="D19" i="33"/>
  <c r="F19" i="33" s="1"/>
  <c r="H19" i="33" s="1"/>
  <c r="H32" i="25"/>
  <c r="H33" i="25" s="1"/>
  <c r="CM7" i="9" l="1"/>
  <c r="E22" i="25" s="1"/>
  <c r="E26" i="25"/>
  <c r="G89" i="25"/>
  <c r="H89" i="25" a="1"/>
  <c r="H89" i="2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Borch, Forest</author>
  </authors>
  <commentList>
    <comment ref="C20" authorId="0" shapeId="0" xr:uid="{7A86D522-63C7-4577-8C75-05038A7F95A8}">
      <text>
        <r>
          <rPr>
            <sz val="9"/>
            <color indexed="81"/>
            <rFont val="Tahoma"/>
            <family val="2"/>
          </rPr>
          <t>These fields can be left blank if they do not apply to the project or if the information is not available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Teshnizi, Zahra</author>
    <author>Borch, Forest</author>
  </authors>
  <commentList>
    <comment ref="C17" authorId="0" shapeId="0" xr:uid="{00000000-0006-0000-0100-000001000000}">
      <text>
        <r>
          <rPr>
            <sz val="9"/>
            <color rgb="FF000000"/>
            <rFont val="Tahoma"/>
            <family val="2"/>
          </rPr>
          <t xml:space="preserve">Projects with multiple buildings shall follow the guidance provided in Sections 6.3 of the City of Vancouver Addendum to determine the number of Design Reports required. </t>
        </r>
      </text>
    </comment>
    <comment ref="C19" authorId="0" shapeId="0" xr:uid="{00000000-0006-0000-0100-000002000000}">
      <text>
        <r>
          <rPr>
            <b/>
            <sz val="9"/>
            <color indexed="81"/>
            <rFont val="Tahoma"/>
            <family val="2"/>
          </rPr>
          <t xml:space="preserve">- Before October 1, 2023: </t>
        </r>
        <r>
          <rPr>
            <sz val="9"/>
            <color indexed="81"/>
            <rFont val="Tahoma"/>
            <family val="2"/>
          </rPr>
          <t xml:space="preserve">There are no compliance requirements.
</t>
        </r>
        <r>
          <rPr>
            <b/>
            <sz val="9"/>
            <color indexed="81"/>
            <rFont val="Tahoma"/>
            <family val="2"/>
          </rPr>
          <t>- After Oct 1, 2023:</t>
        </r>
        <r>
          <rPr>
            <sz val="9"/>
            <color indexed="81"/>
            <rFont val="Tahoma"/>
            <family val="2"/>
          </rPr>
          <t xml:space="preserve"> The embodied carbon limit of the proposed design should be equal or less than double the benchmark, which is set based on the compliance path.
</t>
        </r>
        <r>
          <rPr>
            <b/>
            <sz val="9"/>
            <color indexed="81"/>
            <rFont val="Tahoma"/>
            <family val="2"/>
          </rPr>
          <t xml:space="preserve">
- Date TBC:</t>
        </r>
        <r>
          <rPr>
            <sz val="9"/>
            <color indexed="81"/>
            <rFont val="Tahoma"/>
            <family val="2"/>
          </rPr>
          <t xml:space="preserve"> The embodied carbon of the proposed design should be 10% below the benchmark for Part 3 buildings. The benchmark is set based on the compliance path.
Please note that the BP application date refers to the </t>
        </r>
        <r>
          <rPr>
            <b/>
            <sz val="9"/>
            <color indexed="81"/>
            <rFont val="Tahoma"/>
            <family val="2"/>
          </rPr>
          <t>date the application is accepted for review</t>
        </r>
        <r>
          <rPr>
            <sz val="9"/>
            <color indexed="81"/>
            <rFont val="Tahoma"/>
            <family val="2"/>
          </rPr>
          <t xml:space="preserve">, not the submission date. This occurs after all required documents have been submitted, the BP fees have been paid, and a successful intake meeting has taken place for staged permit applications.
For staged BP submissions, the date of the first stage BP sets the applicable date. </t>
        </r>
      </text>
    </comment>
    <comment ref="C29" authorId="0" shapeId="0" xr:uid="{00000000-0006-0000-0100-000003000000}">
      <text>
        <r>
          <rPr>
            <sz val="9"/>
            <color indexed="81"/>
            <rFont val="Tahoma"/>
            <family val="2"/>
          </rPr>
          <t xml:space="preserve">At the time of embodied carbon modelling
</t>
        </r>
        <r>
          <rPr>
            <b/>
            <sz val="9"/>
            <color indexed="81"/>
            <rFont val="Tahoma"/>
            <family val="2"/>
          </rPr>
          <t xml:space="preserve">- Rezoning application: </t>
        </r>
        <r>
          <rPr>
            <sz val="9"/>
            <color indexed="81"/>
            <rFont val="Tahoma"/>
            <family val="2"/>
          </rPr>
          <t xml:space="preserve">The project phase should be at minimum "Schematic Design"
</t>
        </r>
        <r>
          <rPr>
            <b/>
            <sz val="9"/>
            <color indexed="81"/>
            <rFont val="Tahoma"/>
            <family val="2"/>
          </rPr>
          <t xml:space="preserve">- Building Permit: </t>
        </r>
        <r>
          <rPr>
            <sz val="9"/>
            <color indexed="81"/>
            <rFont val="Tahoma"/>
            <family val="2"/>
          </rPr>
          <t xml:space="preserve">The project phase should be at minimum "Design Development"
</t>
        </r>
        <r>
          <rPr>
            <b/>
            <sz val="9"/>
            <color indexed="81"/>
            <rFont val="Tahoma"/>
            <family val="2"/>
          </rPr>
          <t>- Occupancy Permit:</t>
        </r>
        <r>
          <rPr>
            <sz val="9"/>
            <color indexed="81"/>
            <rFont val="Tahoma"/>
            <family val="2"/>
          </rPr>
          <t xml:space="preserve"> The project should be at "As-built". 
</t>
        </r>
        <r>
          <rPr>
            <i/>
            <sz val="9"/>
            <color indexed="81"/>
            <rFont val="Tahoma"/>
            <family val="2"/>
          </rPr>
          <t>See the definition of the project phases in "Definitions" tab.</t>
        </r>
      </text>
    </comment>
    <comment ref="C30" authorId="0" shapeId="0" xr:uid="{00000000-0006-0000-0100-000004000000}">
      <text>
        <r>
          <rPr>
            <sz val="9"/>
            <color indexed="81"/>
            <rFont val="Tahoma"/>
            <family val="2"/>
          </rPr>
          <t>City of Vancouver only requires reporting embodied carbon, using this Design Report, for projects at Rezoning and Building Permit applications (As of Oct, 2023).</t>
        </r>
      </text>
    </comment>
    <comment ref="C34" authorId="0" shapeId="0" xr:uid="{00000000-0006-0000-0100-000005000000}">
      <text>
        <r>
          <rPr>
            <b/>
            <i/>
            <sz val="9"/>
            <color indexed="81"/>
            <rFont val="Tahoma"/>
            <family val="2"/>
          </rPr>
          <t xml:space="preserve">Source: </t>
        </r>
        <r>
          <rPr>
            <i/>
            <sz val="9"/>
            <color indexed="81"/>
            <rFont val="Tahoma"/>
            <family val="2"/>
          </rPr>
          <t>VBBL 2025, Part 3, Section 3.1, Table 3.1.2.1: "Major Occupancy Classification”</t>
        </r>
        <r>
          <rPr>
            <sz val="9"/>
            <color indexed="81"/>
            <rFont val="Tahoma"/>
            <family val="2"/>
          </rPr>
          <t xml:space="preserve">
See the definition of the major occupancies here:
https://www.bccodes.ca/vancouver-bylaws.html</t>
        </r>
      </text>
    </comment>
    <comment ref="C35" authorId="0" shapeId="0" xr:uid="{00000000-0006-0000-0100-000006000000}">
      <text>
        <r>
          <rPr>
            <sz val="9"/>
            <color indexed="81"/>
            <rFont val="Tahoma"/>
            <family val="2"/>
          </rPr>
          <t>without parkade gross floor area</t>
        </r>
      </text>
    </comment>
    <comment ref="C37" authorId="0" shapeId="0" xr:uid="{00000000-0006-0000-0100-000007000000}">
      <text>
        <r>
          <rPr>
            <sz val="9"/>
            <color indexed="81"/>
            <rFont val="Tahoma"/>
            <family val="2"/>
          </rPr>
          <t>without parkade gross floor area</t>
        </r>
      </text>
    </comment>
    <comment ref="C38" authorId="0" shapeId="0" xr:uid="{00000000-0006-0000-0100-000008000000}">
      <text>
        <r>
          <rPr>
            <sz val="9"/>
            <color indexed="81"/>
            <rFont val="Tahoma"/>
            <family val="2"/>
          </rPr>
          <t>Choose "Addition" if a major existing building or structure on site is retained in the proposed design. 
See VBBL 2025 for applicability of new additions.</t>
        </r>
      </text>
    </comment>
    <comment ref="C41" authorId="0" shapeId="0" xr:uid="{00000000-0006-0000-0100-000009000000}">
      <text>
        <r>
          <rPr>
            <b/>
            <sz val="9"/>
            <color indexed="81"/>
            <rFont val="Tahoma"/>
            <family val="2"/>
          </rPr>
          <t>GFA</t>
        </r>
        <r>
          <rPr>
            <sz val="9"/>
            <color indexed="81"/>
            <rFont val="Tahoma"/>
            <family val="2"/>
          </rPr>
          <t xml:space="preserve"> measures fully-enclosed spaces up to the outside face of enclosing walls, without deductions for interior walls, columns, or floor openings like stairwells, elevators, ducts, or other apertures. 
For more details on GFA calculations, refer to Appendix A of the National Research Council of Canada’s National Guidelines for Whole-building Life Cycle Assessment.
</t>
        </r>
        <r>
          <rPr>
            <b/>
            <sz val="9"/>
            <color indexed="81"/>
            <rFont val="Tahoma"/>
            <family val="2"/>
          </rPr>
          <t xml:space="preserve">Note 1: </t>
        </r>
        <r>
          <rPr>
            <sz val="9"/>
            <color indexed="81"/>
            <rFont val="Tahoma"/>
            <family val="2"/>
          </rPr>
          <t xml:space="preserve">The elements used in the parkade are included in calculating the total embodied carbon emissions. However, the parkade floor area shall be excluded in the GFA used for calculating the embodied carbon intensity.
</t>
        </r>
        <r>
          <rPr>
            <b/>
            <sz val="9"/>
            <color indexed="81"/>
            <rFont val="Tahoma"/>
            <family val="2"/>
          </rPr>
          <t>Note 2:</t>
        </r>
        <r>
          <rPr>
            <sz val="9"/>
            <color indexed="81"/>
            <rFont val="Tahoma"/>
            <family val="2"/>
          </rPr>
          <t xml:space="preserve"> In the case the project is a new addition that includes the reuse of a portion of a building, the floor area of the reused portion of the building should be included in the GFA, per Section 4.3.c.vi of the National wbLCA Practitioner's Guide. </t>
        </r>
      </text>
    </comment>
    <comment ref="C42" authorId="0" shapeId="0" xr:uid="{00000000-0006-0000-0100-00000A000000}">
      <text>
        <r>
          <rPr>
            <sz val="9"/>
            <color indexed="81"/>
            <rFont val="Tahoma"/>
            <family val="2"/>
          </rPr>
          <t>Parkade is a building or part thereof for the storage or parking of motor vehicles and not containing provisions for the repair or servicing of such vehicles.</t>
        </r>
      </text>
    </comment>
    <comment ref="C43" authorId="1" shapeId="0" xr:uid="{651F722E-38F2-4CC2-BB47-CB3C778CD906}">
      <text>
        <r>
          <rPr>
            <sz val="9"/>
            <color indexed="81"/>
            <rFont val="Tahoma"/>
            <family val="2"/>
          </rPr>
          <t>BFA, Built Floor Area, includes the floor area of attached garages.</t>
        </r>
      </text>
    </comment>
    <comment ref="C58" authorId="0" shapeId="0" xr:uid="{00000000-0006-0000-0100-00000B000000}">
      <text>
        <r>
          <rPr>
            <sz val="9"/>
            <color rgb="FF000000"/>
            <rFont val="Tahoma"/>
            <family val="2"/>
          </rPr>
          <t>Primary material and system of the structural system</t>
        </r>
      </text>
    </comment>
    <comment ref="C60" authorId="0" shapeId="0" xr:uid="{00000000-0006-0000-0100-00000C000000}">
      <text>
        <r>
          <rPr>
            <sz val="9"/>
            <color indexed="81"/>
            <rFont val="Tahoma"/>
            <family val="2"/>
          </rPr>
          <t xml:space="preserve">The system that resists gravity loads, including dead and live loads in a building and transfers them to the vertical system in a building. 
</t>
        </r>
        <r>
          <rPr>
            <i/>
            <sz val="9"/>
            <color indexed="81"/>
            <rFont val="Tahoma"/>
            <family val="2"/>
          </rPr>
          <t xml:space="preserve">
See the description of the structural systems in "Definitions" tab.</t>
        </r>
      </text>
    </comment>
    <comment ref="C62" authorId="0" shapeId="0" xr:uid="{00000000-0006-0000-0100-00000D000000}">
      <text>
        <r>
          <rPr>
            <sz val="9"/>
            <color rgb="FF000000"/>
            <rFont val="Tahoma"/>
            <family val="2"/>
          </rPr>
          <t xml:space="preserve">The system that handles the loads from the horizontal system, resists gravity, and transfers the load to the foundation.
</t>
        </r>
        <r>
          <rPr>
            <i/>
            <sz val="9"/>
            <color rgb="FF000000"/>
            <rFont val="Tahoma"/>
            <family val="2"/>
          </rPr>
          <t xml:space="preserve">
See the description of the structural systems in "Definitions" tab.</t>
        </r>
      </text>
    </comment>
    <comment ref="C64" authorId="0" shapeId="0" xr:uid="{00000000-0006-0000-0100-00000E000000}">
      <text>
        <r>
          <rPr>
            <sz val="9"/>
            <color indexed="81"/>
            <rFont val="Tahoma"/>
            <family val="2"/>
          </rPr>
          <t xml:space="preserve">The system that braces the building against shear loads created by wind or seismic activity.
</t>
        </r>
        <r>
          <rPr>
            <i/>
            <sz val="9"/>
            <color indexed="81"/>
            <rFont val="Tahoma"/>
            <family val="2"/>
          </rPr>
          <t>See the description of the structural systems in "Definitions" tab.</t>
        </r>
      </text>
    </comment>
    <comment ref="C66" authorId="0" shapeId="0" xr:uid="{00000000-0006-0000-0100-00000F000000}">
      <text>
        <r>
          <rPr>
            <sz val="9"/>
            <color indexed="81"/>
            <rFont val="Tahoma"/>
            <family val="2"/>
          </rPr>
          <t>See the description of the structural systems in "Definitions" tab.</t>
        </r>
      </text>
    </comment>
    <comment ref="C67" authorId="0" shapeId="0" xr:uid="{00000000-0006-0000-0100-000010000000}">
      <text>
        <r>
          <rPr>
            <sz val="9"/>
            <color indexed="81"/>
            <rFont val="Tahoma"/>
            <family val="2"/>
          </rPr>
          <t>See the description of the structural systems in "Definitions" tab.</t>
        </r>
      </text>
    </comment>
    <comment ref="C69" authorId="0" shapeId="0" xr:uid="{00000000-0006-0000-0100-000011000000}">
      <text>
        <r>
          <rPr>
            <sz val="9"/>
            <color indexed="81"/>
            <rFont val="Tahoma"/>
            <family val="2"/>
          </rPr>
          <t xml:space="preserve">A classification assigned to a structure based on its occupancy category and the severity of the design earthquake ground motion at the site.
</t>
        </r>
        <r>
          <rPr>
            <b/>
            <i/>
            <sz val="9"/>
            <color indexed="81"/>
            <rFont val="Tahoma"/>
            <family val="2"/>
          </rPr>
          <t xml:space="preserve">Source: </t>
        </r>
        <r>
          <rPr>
            <i/>
            <sz val="9"/>
            <color indexed="81"/>
            <rFont val="Tahoma"/>
            <family val="2"/>
          </rPr>
          <t>ASCE 7-05
See the description of the categories in  "Definitions" tab.</t>
        </r>
      </text>
    </comment>
    <comment ref="C70" authorId="0" shapeId="0" xr:uid="{00000000-0006-0000-0100-000012000000}">
      <text>
        <r>
          <rPr>
            <sz val="9"/>
            <color indexed="81"/>
            <rFont val="Tahoma"/>
            <family val="2"/>
          </rPr>
          <t xml:space="preserve">Risk categories are assigned to buildings to account for consequences and risks to human life in the event of a building failure. 
</t>
        </r>
        <r>
          <rPr>
            <i/>
            <sz val="9"/>
            <color indexed="81"/>
            <rFont val="Tahoma"/>
            <family val="2"/>
          </rPr>
          <t xml:space="preserve">
</t>
        </r>
        <r>
          <rPr>
            <b/>
            <i/>
            <sz val="9"/>
            <color indexed="81"/>
            <rFont val="Tahoma"/>
            <family val="2"/>
          </rPr>
          <t xml:space="preserve">Source: </t>
        </r>
        <r>
          <rPr>
            <i/>
            <sz val="9"/>
            <color indexed="81"/>
            <rFont val="Tahoma"/>
            <family val="2"/>
          </rPr>
          <t>IBC, Chapter 16, Section 1604.5, Table 1604.5: "Risk Category of Buildings and Other Structures”</t>
        </r>
      </text>
    </comment>
    <comment ref="C71" authorId="0" shapeId="0" xr:uid="{00000000-0006-0000-0100-000013000000}">
      <text>
        <r>
          <rPr>
            <sz val="9"/>
            <color indexed="81"/>
            <rFont val="Tahoma"/>
            <family val="2"/>
          </rPr>
          <t xml:space="preserve">The Site Class quantifies the soil’s propensity to amplify, or in some cases decrease, surface ground motion propagating from underlying rock. The Site Class is used by designers to determine the Seismic Performance Zone for a structure. 
</t>
        </r>
        <r>
          <rPr>
            <b/>
            <i/>
            <sz val="9"/>
            <color indexed="81"/>
            <rFont val="Tahoma"/>
            <family val="2"/>
          </rPr>
          <t xml:space="preserve">Source: </t>
        </r>
        <r>
          <rPr>
            <i/>
            <sz val="9"/>
            <color indexed="81"/>
            <rFont val="Tahoma"/>
            <family val="2"/>
          </rPr>
          <t>ASCE 7, Chapter 20, Section 1613.2.2
See the description of the seismic site classes in  "Definitions" tab.</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Teshnizi, Zahra</author>
    <author>Borch, Forest</author>
  </authors>
  <commentList>
    <comment ref="C13" authorId="0" shapeId="0" xr:uid="{00000000-0006-0000-0200-000001000000}">
      <text>
        <r>
          <rPr>
            <sz val="9"/>
            <color indexed="81"/>
            <rFont val="Tahoma"/>
            <family val="2"/>
          </rPr>
          <t>For Building Permit application, "Typology-Based Estimates" is not acceptable for major envelope and structural elements, as quantities at this stage must be derived from project-specific information.</t>
        </r>
      </text>
    </comment>
    <comment ref="C17" authorId="1" shapeId="0" xr:uid="{D46C9C15-6A23-443C-B82D-4BDD41AE5BFF}">
      <text>
        <r>
          <rPr>
            <sz val="9"/>
            <color indexed="81"/>
            <rFont val="Tahoma"/>
            <family val="2"/>
          </rPr>
          <t xml:space="preserve">Compliance with VBBL 2025 should follow the CoV Addendum. Projects subject to VBBL 2019 may optionally use the CoV Addendum. </t>
        </r>
      </text>
    </comment>
    <comment ref="C19" authorId="1" shapeId="0" xr:uid="{170292E6-D3C4-4265-807F-A2757102BBD7}">
      <text>
        <r>
          <rPr>
            <sz val="9"/>
            <color indexed="81"/>
            <rFont val="Tahoma"/>
            <family val="2"/>
          </rPr>
          <t>If the tool used is not shown on this list, it is required to check with the City of Vancouver Green and Resilient Buildings team to confirm acceptability prior to submission.</t>
        </r>
      </text>
    </comment>
    <comment ref="C20" authorId="1" shapeId="0" xr:uid="{98D4A62E-B62E-4DA9-BAE7-14765DF2D071}">
      <text>
        <r>
          <rPr>
            <sz val="9"/>
            <color indexed="81"/>
            <rFont val="Tahoma"/>
            <family val="2"/>
          </rPr>
          <t xml:space="preserve">Per section 4.3 (a) of the City of Vancouver Addendum to the National wbLCA Practitioner's Guide. </t>
        </r>
      </text>
    </comment>
    <comment ref="C22" authorId="0" shapeId="0" xr:uid="{00000000-0006-0000-0200-000002000000}">
      <text>
        <r>
          <rPr>
            <sz val="9"/>
            <color indexed="81"/>
            <rFont val="Tahoma"/>
            <family val="2"/>
          </rPr>
          <t>The life cycle stages are: Product Stage (A1-A3), Construction Process Stage (A4-A5), Use Stage (B1-B5), and End-of-Life Stage (C1-C4).
If the tool provides a breakdown, the breakdown shall be reported the in the "Results &amp; Compliance" tab.</t>
        </r>
      </text>
    </comment>
    <comment ref="D34" authorId="0" shapeId="0" xr:uid="{00000000-0006-0000-0200-000003000000}">
      <text>
        <r>
          <rPr>
            <sz val="9"/>
            <color indexed="81"/>
            <rFont val="Tahoma"/>
            <family val="2"/>
          </rPr>
          <t>A life cycle stage shall be assumed included, even when some of the modules within that life cycle stage are missing in the tool.
Emissions from any of the life cycle stages that are missing in the utilized tool and are not reported by the user using project-specific or regional data, are automatically estimated in "Results &amp; Compliance" tab. These emissions are estimated relative to the emissions reported for the product stage (modules A1-A3), using the percentages provided in Section 4.4 (c) (viii) of Vancouver Embodied Carbon Guidelines.</t>
        </r>
      </text>
    </comment>
    <comment ref="F34" authorId="0" shapeId="0" xr:uid="{00000000-0006-0000-0200-000004000000}">
      <text>
        <r>
          <rPr>
            <sz val="9"/>
            <color rgb="FF000000"/>
            <rFont val="Tahoma"/>
            <family val="2"/>
          </rPr>
          <t>The life cycle stages that should be included for compliance with VBBL are specified below and cannot be modified.
If the utilized tool does not cover A4, A5, B1-B4, or C1-C4, this report automatically estimates the emissions from these life cycle stages, in "Results &amp; Compliance" tab, based on A1-A3 emissions. The estimations follow the guidelines provided in Section 4.4 (c) (viii) of Vancouver Embodied Carbon Guidelines.</t>
        </r>
      </text>
    </comment>
    <comment ref="C40" authorId="0" shapeId="0" xr:uid="{00000000-0006-0000-0200-000005000000}">
      <text>
        <r>
          <rPr>
            <sz val="9"/>
            <color indexed="81"/>
            <rFont val="Tahoma"/>
            <family val="2"/>
          </rPr>
          <t xml:space="preserve">Select "Yes" if the software tool used includes any of the D1-D4 modules, even if the tool is missing one or more of  the modules.
</t>
        </r>
        <r>
          <rPr>
            <b/>
            <sz val="9"/>
            <color indexed="81"/>
            <rFont val="Tahoma"/>
            <family val="2"/>
          </rPr>
          <t xml:space="preserve">Note: </t>
        </r>
        <r>
          <rPr>
            <sz val="9"/>
            <color indexed="81"/>
            <rFont val="Tahoma"/>
            <family val="2"/>
          </rPr>
          <t>Reporting modules D1-D4 is optional and should be reported separately.</t>
        </r>
      </text>
    </comment>
    <comment ref="C90" authorId="1" shapeId="0" xr:uid="{F2A6C7D5-A786-40CF-920E-150F69CFC71E}">
      <text>
        <r>
          <rPr>
            <sz val="9"/>
            <color indexed="81"/>
            <rFont val="Tahoma"/>
            <family val="2"/>
          </rPr>
          <t>Calculated in sheet '6. Carbon Storage'.</t>
        </r>
      </text>
    </comment>
    <comment ref="C91" authorId="0" shapeId="0" xr:uid="{00000000-0006-0000-0200-00000A000000}">
      <text>
        <r>
          <rPr>
            <sz val="9"/>
            <color indexed="81"/>
            <rFont val="Tahoma"/>
            <family val="2"/>
          </rPr>
          <t xml:space="preserve">Biogenic Carbon is carbon stored in biomaterials through natural processes, but not fossilized or derived from fossil resources. </t>
        </r>
      </text>
    </comment>
    <comment ref="C92" authorId="0" shapeId="0" xr:uid="{00000000-0006-0000-0200-00000B000000}">
      <text>
        <r>
          <rPr>
            <sz val="9"/>
            <color indexed="81"/>
            <rFont val="Tahoma"/>
            <family val="2"/>
          </rPr>
          <t xml:space="preserve">Concrete Carbonation is a naturally occurring reaction in concrete products when atmospheric CO2 (in the presence of water) reacts with the cement. Carbon is sequestered in the process and the strength of concrete increases. However, it also creates an acidic environment, which can corrode steel reinforcing bars. </t>
        </r>
      </text>
    </comment>
    <comment ref="C102" authorId="0" shapeId="0" xr:uid="{00000000-0006-0000-0200-00000D000000}">
      <text>
        <r>
          <rPr>
            <sz val="9"/>
            <color indexed="81"/>
            <rFont val="Tahoma"/>
            <family val="2"/>
          </rPr>
          <t>Include materials and components that their contribution to the total embodied carbon emissions is equal or higher than 5%.
If the breakdown is not provided in the tool used, the user may use your their professional judgement to identify major materials and components.</t>
        </r>
      </text>
    </comment>
    <comment ref="C106" authorId="0" shapeId="0" xr:uid="{00000000-0006-0000-0200-00000E000000}">
      <text>
        <r>
          <rPr>
            <sz val="9"/>
            <color indexed="81"/>
            <rFont val="Tahoma"/>
            <family val="2"/>
          </rPr>
          <t>Example of these include: transportation distances, emissions from construction and demolition, building systems and elements life span, and end-of-life scenarios.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Borch, Forest</author>
    <author>Teshnizi, Zahra</author>
  </authors>
  <commentList>
    <comment ref="H13" authorId="0" shapeId="0" xr:uid="{7F44AFA2-D992-4BA7-9CDA-DBCF20399B05}">
      <text>
        <r>
          <rPr>
            <sz val="9"/>
            <color indexed="81"/>
            <rFont val="Tahoma"/>
            <family val="2"/>
          </rPr>
          <t>This cell is auto populated from cell #D18 in the sheet '3. EC Modelling Info'.</t>
        </r>
      </text>
    </comment>
    <comment ref="E24" authorId="1" shapeId="0" xr:uid="{00000000-0006-0000-0300-000003000000}">
      <text>
        <r>
          <rPr>
            <sz val="9"/>
            <color indexed="81"/>
            <rFont val="Tahoma"/>
            <family val="2"/>
          </rPr>
          <t>This cell shows the percentage embodied carbon reduction requirements, from the benchmark, for compliance with VBBL. 
From Oct 2023 this value is -100%. That means, the embodied carbon of the proposed design should be equal or less than double the benchmark.</t>
        </r>
      </text>
    </comment>
    <comment ref="E26" authorId="0" shapeId="0" xr:uid="{8CBFDE88-5CDC-4090-A910-C472472FD5C5}">
      <text>
        <r>
          <rPr>
            <sz val="9"/>
            <color indexed="81"/>
            <rFont val="Tahoma"/>
            <family val="2"/>
          </rPr>
          <t xml:space="preserve">This cell shows the percentage embodied carbon reduction requirements, from the benchmark, for compliance with VBBL. 
From Oct 2023 this value is -100%. That means, the embodied carbon of the proposed design should be equal or less than double the benchmark.
If Industry Leadership Credits (ILCs) are claimed, the reduction requirement is relaxed. 
See sheet "7. ILCs - Design" for details. </t>
        </r>
      </text>
    </comment>
    <comment ref="E27" authorId="1" shapeId="0" xr:uid="{00000000-0006-0000-0300-000004000000}">
      <text>
        <r>
          <rPr>
            <sz val="9"/>
            <color indexed="81"/>
            <rFont val="Tahoma"/>
            <family val="2"/>
          </rPr>
          <t xml:space="preserve">This cell shows the percentage reduction achieved in the proposed design, compared to the benchmark. 
A negative value shows that the embodied carbon of the proposed design is increased compared to the benchmark. </t>
        </r>
      </text>
    </comment>
    <comment ref="E39" authorId="1" shapeId="0" xr:uid="{00000000-0006-0000-0300-000006000000}">
      <text>
        <r>
          <rPr>
            <sz val="9"/>
            <color indexed="81"/>
            <rFont val="Tahoma"/>
            <family val="2"/>
          </rPr>
          <t>Only include emissions from substructure and shell, i.e. structure and envelope.</t>
        </r>
      </text>
    </comment>
    <comment ref="G39" authorId="1" shapeId="0" xr:uid="{00000000-0006-0000-0300-000007000000}">
      <text>
        <r>
          <rPr>
            <sz val="9"/>
            <color rgb="FF000000"/>
            <rFont val="Tahoma"/>
            <family val="2"/>
          </rPr>
          <t>Include emissions from substructure, shell, and all other optional elements indicated to be included in "Compliance" column --&gt; "Building Elements" section --&gt; "EC Modelling Info" tab.</t>
        </r>
      </text>
    </comment>
    <comment ref="H39" authorId="1" shapeId="0" xr:uid="{00000000-0006-0000-0300-000008000000}">
      <text>
        <r>
          <rPr>
            <sz val="9"/>
            <color rgb="FF000000"/>
            <rFont val="Tahoma"/>
            <family val="2"/>
          </rPr>
          <t>Include emissions from substructure, shell, and all other optional elements indicated to be included in "Reporting" column --&gt; "Building System" section --&gt; "EC Modelling Info" tab.</t>
        </r>
      </text>
    </comment>
    <comment ref="C43" authorId="1" shapeId="0" xr:uid="{00000000-0006-0000-0300-000009000000}">
      <text>
        <r>
          <rPr>
            <sz val="9"/>
            <color indexed="81"/>
            <rFont val="Tahoma"/>
            <family val="2"/>
          </rPr>
          <t xml:space="preserve">Report emissions only for the cells that are not greyed out from the specified life cycle modules that are specified to be included in the Reporting column (cells #D34:38) in "EC Modelling Info" tab. 
</t>
        </r>
        <r>
          <rPr>
            <b/>
            <sz val="9"/>
            <color indexed="81"/>
            <rFont val="Tahoma"/>
            <family val="2"/>
          </rPr>
          <t>Do not override the formulas in the greyed out cells</t>
        </r>
        <r>
          <rPr>
            <sz val="9"/>
            <color indexed="81"/>
            <rFont val="Tahoma"/>
            <family val="2"/>
          </rPr>
          <t>. These are  the life cycle stages that are missing in the tool used and the user specified in "EC Modelling Info" tab that no project-specific or regional data is available from the project team. 
The embodied carbon from the greyed out life cycle stages are automatically calculated using the guidance provided in Section 4.3 (c) (viii) of the National wbLCA Practitioner's Guide.</t>
        </r>
      </text>
    </comment>
    <comment ref="C44" authorId="1" shapeId="0" xr:uid="{00000000-0006-0000-0300-00000A000000}">
      <text>
        <r>
          <rPr>
            <sz val="9"/>
            <color rgb="FF000000"/>
            <rFont val="Tahoma"/>
            <family val="2"/>
          </rPr>
          <t>Override the formula if the cells are not greyed out to report the value from the tool used, or project-specific or regional data that the project team may have provided.</t>
        </r>
      </text>
    </comment>
    <comment ref="C50" authorId="1" shapeId="0" xr:uid="{234EF783-7411-4B8E-A981-CAFB104EE1D6}">
      <text>
        <r>
          <rPr>
            <sz val="9"/>
            <color indexed="81"/>
            <rFont val="Tahoma"/>
            <family val="2"/>
          </rPr>
          <t>Reporting modules D1-D4 is optional and should be reported separately.
If carbon avoided in modules D is more than carbon emitted in these modules, the value should be entered as negative.</t>
        </r>
      </text>
    </comment>
    <comment ref="C52" authorId="1" shapeId="0" xr:uid="{4E0DCAE6-11F9-4660-8220-7946C98E924C}">
      <text>
        <r>
          <rPr>
            <sz val="9"/>
            <color indexed="81"/>
            <rFont val="Tahoma"/>
            <family val="2"/>
          </rPr>
          <t>Carbon storage from Short Cycle Biogenic Carbon material products from the 6. Carbon Storage sheet.</t>
        </r>
      </text>
    </comment>
    <comment ref="C71" authorId="0" shapeId="0" xr:uid="{8C4DA272-ECFE-4C3C-8747-DD78B30F6B37}">
      <text>
        <r>
          <rPr>
            <sz val="9"/>
            <color indexed="81"/>
            <rFont val="Tahoma"/>
            <family val="2"/>
          </rPr>
          <t xml:space="preserve">Values in this section are shown to allow comparison and benchmarking to other embodied carbon regulation methodologies. </t>
        </r>
      </text>
    </comment>
    <comment ref="G83" authorId="0" shapeId="0" xr:uid="{43465273-CD4F-4616-8E49-208AE53A5765}">
      <text>
        <r>
          <rPr>
            <sz val="9"/>
            <color indexed="81"/>
            <rFont val="Tahoma"/>
            <family val="2"/>
          </rPr>
          <t>Based on Compliance path.</t>
        </r>
      </text>
    </comment>
    <comment ref="G87" authorId="0" shapeId="0" xr:uid="{056095E1-C858-4A2E-A53F-308EC51A7950}">
      <text>
        <r>
          <rPr>
            <sz val="9"/>
            <color indexed="81"/>
            <rFont val="Tahoma"/>
            <family val="2"/>
          </rPr>
          <t>Embodied Carbon Intensity based on Gross Floor Area, GFA, which excludes parking areas.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Borch, Forest</author>
  </authors>
  <commentList>
    <comment ref="D19" authorId="0" shapeId="0" xr:uid="{A80B42A9-B45F-4BBE-8C18-7378B67F02DA}">
      <text>
        <r>
          <rPr>
            <sz val="9"/>
            <color indexed="81"/>
            <rFont val="Tahoma"/>
            <family val="2"/>
          </rPr>
          <t>Only required elements are permitted to be included in compliance assessment under the Intensity Path. If showing compliance via the Baseline Path, this cell is auto-populated based on the input in sheet '3. EC Modelling Info' / Building Elements / Optional Elements.</t>
        </r>
      </text>
    </comment>
    <comment ref="D184" authorId="0" shapeId="0" xr:uid="{7C7C8628-A924-4C00-9D75-5D0FEEEBBB87}">
      <text>
        <r>
          <rPr>
            <sz val="9"/>
            <color indexed="81"/>
            <rFont val="Tahoma"/>
            <family val="2"/>
          </rPr>
          <t xml:space="preserve">Note, 'carbonation' is different than 'calcination'. Carbonation may be reported separately. Calcination is normally included in GWP for compliance.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Borch, Forest</author>
    <author>Teshnizi, Zahra</author>
  </authors>
  <commentList>
    <comment ref="I14" authorId="0" shapeId="0" xr:uid="{F6C0ED6E-F427-4FB6-B3AE-825EE558406C}">
      <text>
        <r>
          <rPr>
            <sz val="9"/>
            <color indexed="81"/>
            <rFont val="Tahoma"/>
            <family val="2"/>
          </rPr>
          <t>Auto-filled from sheet '3. EC Modelling Info', cell #F120.</t>
        </r>
      </text>
    </comment>
    <comment ref="F17" authorId="0" shapeId="0" xr:uid="{969EB515-B4C7-4E81-B745-77E8C869FD72}">
      <text>
        <r>
          <rPr>
            <sz val="9"/>
            <color indexed="81"/>
            <rFont val="Tahoma"/>
            <family val="2"/>
          </rPr>
          <t>Embodied Carbon Intensity based on Gross Floor Area, GFA, which excludes parking areas.</t>
        </r>
      </text>
    </comment>
    <comment ref="C35" authorId="0" shapeId="0" xr:uid="{DD6B5E0C-5C20-498A-8C2E-4A27899EAC02}">
      <text>
        <r>
          <rPr>
            <sz val="9"/>
            <color indexed="81"/>
            <rFont val="Tahoma"/>
            <family val="2"/>
          </rPr>
          <t>Auto-populated by Optional Elements section in '3. EC Modelling Info' sheet.
ILC credit will be given regardless if the scope element is included for compliance or reported only.</t>
        </r>
      </text>
    </comment>
    <comment ref="C38" authorId="1" shapeId="0" xr:uid="{8BBE5EFB-3D09-41C8-BB24-10FC8A87D49E}">
      <text>
        <r>
          <rPr>
            <sz val="9"/>
            <color indexed="81"/>
            <rFont val="Tahoma"/>
            <family val="2"/>
          </rPr>
          <t>The life cycle stages are: Product Stage (A1-A3), Construction Process Stage (A4-A5), Use Stage (B1-B5), and End-of-Life Stage (C1-C4).
If the tool provides a breakdown, report the emissions below. Otherwise, default values are autopopulated.</t>
        </r>
      </text>
    </comment>
    <comment ref="C39" authorId="1" shapeId="0" xr:uid="{FC9AE413-75FA-41CB-A145-0324247AD131}">
      <text>
        <r>
          <rPr>
            <sz val="9"/>
            <color indexed="81"/>
            <rFont val="Tahoma"/>
            <family val="2"/>
          </rPr>
          <t xml:space="preserve">Report emissions only for the cells that are not greyed out.
</t>
        </r>
        <r>
          <rPr>
            <b/>
            <sz val="9"/>
            <color indexed="81"/>
            <rFont val="Tahoma"/>
            <family val="2"/>
          </rPr>
          <t>Do not override the formulas in the greyed out cells</t>
        </r>
        <r>
          <rPr>
            <sz val="9"/>
            <color indexed="81"/>
            <rFont val="Tahoma"/>
            <family val="2"/>
          </rPr>
          <t>. These are the life cycle stages that are missing in the tool specified above. 
The embodied carbon from the greyed out life cycle stages are automatically calculated using the guidance provided in Section 4.3 (c) (viii) of the National wbLCA Practitioner's Guide.</t>
        </r>
      </text>
    </comment>
    <comment ref="C40" authorId="1" shapeId="0" xr:uid="{2D10CDF6-9105-4A89-8641-073BFB1E40AC}">
      <text>
        <r>
          <rPr>
            <sz val="9"/>
            <color rgb="FF000000"/>
            <rFont val="Tahoma"/>
            <family val="2"/>
          </rPr>
          <t>Override the formula if the cells are not greyed out to report the value from the software tool.</t>
        </r>
      </text>
    </comment>
    <comment ref="C48" authorId="0" shapeId="0" xr:uid="{8C3FE7CE-AD41-4667-902C-094B43888D7B}">
      <text>
        <r>
          <rPr>
            <sz val="9"/>
            <color indexed="81"/>
            <rFont val="Tahoma"/>
            <family val="2"/>
          </rPr>
          <t>Auto-populated by Optional Elements section in '3. EC Modelling Info' sheet.
ILC credit will be given regardless if the scope element is included for compliance or reported only.</t>
        </r>
      </text>
    </comment>
    <comment ref="C51" authorId="1" shapeId="0" xr:uid="{88367B48-9656-43CD-ABF9-391F493D4A7B}">
      <text>
        <r>
          <rPr>
            <sz val="9"/>
            <color indexed="81"/>
            <rFont val="Tahoma"/>
            <family val="2"/>
          </rPr>
          <t>The life cycle stages are: Product Stage (A1-A3), Construction Process Stage (A4-A5), Use Stage (B1-B5), and End-of-Life Stage (C1-C4).
If the tool provides a breakdown, report the emissions below. Otherwise, default values are autopopulated.</t>
        </r>
      </text>
    </comment>
    <comment ref="C52" authorId="1" shapeId="0" xr:uid="{B8CAD268-AAF0-4CA5-83CC-9EFCB5F9683D}">
      <text>
        <r>
          <rPr>
            <sz val="9"/>
            <color indexed="81"/>
            <rFont val="Tahoma"/>
            <family val="2"/>
          </rPr>
          <t xml:space="preserve">Report emissions only for the cells that are not greyed out.
</t>
        </r>
        <r>
          <rPr>
            <b/>
            <sz val="9"/>
            <color indexed="81"/>
            <rFont val="Tahoma"/>
            <family val="2"/>
          </rPr>
          <t>Do not override the formulas in the greyed out cells</t>
        </r>
        <r>
          <rPr>
            <sz val="9"/>
            <color indexed="81"/>
            <rFont val="Tahoma"/>
            <family val="2"/>
          </rPr>
          <t>. These are the life cycle stages that are missing in the tool specified above. 
The embodied carbon from the greyed out life cycle stages are automatically calculated using the guidance provided in Section 4.3 (c) (viii) of the National wbLCA Practitioner's Guide.</t>
        </r>
      </text>
    </comment>
    <comment ref="C53" authorId="1" shapeId="0" xr:uid="{1266AE40-04EA-4F31-B8D7-750A9EE0FCF6}">
      <text>
        <r>
          <rPr>
            <sz val="9"/>
            <color rgb="FF000000"/>
            <rFont val="Tahoma"/>
            <family val="2"/>
          </rPr>
          <t>Override the formula if the cells are not greyed out to report the value from the tool used, or project-specific or regional data that the project team may have provided.</t>
        </r>
      </text>
    </comment>
    <comment ref="D113" authorId="0" shapeId="0" xr:uid="{F4593D7D-A336-4296-A94D-E0E6F89F176A}">
      <text>
        <r>
          <rPr>
            <sz val="9"/>
            <color indexed="81"/>
            <rFont val="Tahoma"/>
            <family val="2"/>
          </rPr>
          <t>Concrete is typically supplied in m3. Use the standard density of concrete, 2400 kg/m3, to convert.</t>
        </r>
      </text>
    </comment>
    <comment ref="F113" authorId="0" shapeId="0" xr:uid="{58CF0569-B8B0-40E6-8050-71F4B331D5FF}">
      <text>
        <r>
          <rPr>
            <sz val="9"/>
            <color indexed="81"/>
            <rFont val="Tahoma"/>
            <family val="2"/>
          </rPr>
          <t>Vehicle-mile factors are appropriate to use when the entire vehicle is dedicated to transporting the reporting company's product. Ton-mile factors are appropriate when the vehicle is shared with products from other companies. 
Based on EPA Emission Factors for Greenhouse Gas Inventories 2025: https://www.epa.gov/system/files/documents/2025-01/ghg-emission-factors-hub-2025.pdf</t>
        </r>
      </text>
    </comment>
    <comment ref="H141" authorId="0" shapeId="0" xr:uid="{A9882E63-228F-4BF9-88C0-F3C33B85898E}">
      <text>
        <r>
          <rPr>
            <sz val="9"/>
            <color indexed="81"/>
            <rFont val="Tahoma"/>
            <family val="2"/>
          </rPr>
          <t>Auto-populated from the sheet '4. Results &amp; Compliance'.</t>
        </r>
      </text>
    </comment>
    <comment ref="D197" authorId="0" shapeId="0" xr:uid="{AED9BDAE-F78C-4EE4-9A76-EC32EC3BB87F}">
      <text>
        <r>
          <rPr>
            <sz val="9"/>
            <color indexed="81"/>
            <rFont val="Tahoma"/>
            <family val="2"/>
          </rPr>
          <t>Acceptable documentation includes the following: 
• Itemized receipts for sale/donation of wood salvaged for reuse indicating business or organization name, quantity of wood and date,
• For wood stored for future reuse: address(es) of storage location(s) and contact information for a site manager at each storage location, or
• For private sales, description(s) of planned reuse and contact information for the buyer(s).</t>
        </r>
      </text>
    </comment>
    <comment ref="H259" authorId="0" shapeId="0" xr:uid="{38302D03-2BAB-49E4-B8A3-B7E859810F1B}">
      <text>
        <r>
          <rPr>
            <sz val="9"/>
            <color indexed="81"/>
            <rFont val="Tahoma"/>
            <family val="2"/>
          </rPr>
          <t xml:space="preserve">The madatory scope of structure and enclosure is used for this calculation to give leniency, even if salvaged material are used as or from non-structure/enclosure. </t>
        </r>
      </text>
    </comment>
    <comment ref="G278" authorId="0" shapeId="0" xr:uid="{FC8F1B64-F0F8-4ABE-9202-ABC6FFC1822E}">
      <text>
        <r>
          <rPr>
            <sz val="9"/>
            <color indexed="81"/>
            <rFont val="Tahoma"/>
            <family val="2"/>
          </rPr>
          <t xml:space="preserve">Auto-populated from '2. Project Info' sheet. </t>
        </r>
      </text>
    </comment>
    <comment ref="G283" authorId="0" shapeId="0" xr:uid="{9415EC38-4E1E-4F56-830A-A8A4E965DE58}">
      <text>
        <r>
          <rPr>
            <sz val="9"/>
            <color indexed="81"/>
            <rFont val="Tahoma"/>
            <family val="2"/>
          </rPr>
          <t>Value auto-populated from '4. Results &amp; Compliance'</t>
        </r>
      </text>
    </comment>
    <comment ref="G285" authorId="0" shapeId="0" xr:uid="{CC78EA88-A075-437C-A71F-6B3AFB6E2BAF}">
      <text>
        <r>
          <rPr>
            <sz val="9"/>
            <color indexed="81"/>
            <rFont val="Tahoma"/>
            <family val="2"/>
          </rPr>
          <t xml:space="preserve">Credit for optional scope DfD components can only be claimed if included in the scope of assessment ("Reporting" and/or "Compliance"), as indicated in the '3. EC Modelling Info' sheet and reported on the '4. Results &amp; Compliance' sheet.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Borch, Forest</author>
  </authors>
  <commentList>
    <comment ref="H27" authorId="0" shapeId="0" xr:uid="{B3DA9834-A687-45B5-BBA3-44DEC88D04F3}">
      <text>
        <r>
          <rPr>
            <sz val="9"/>
            <color indexed="81"/>
            <rFont val="Tahoma"/>
            <family val="2"/>
          </rPr>
          <t xml:space="preserve">This cell shows the percentage reduction achieved in construction, compared to the design budget. 
A negative value shows that the as-built quantity is greater than the design budget. </t>
        </r>
      </text>
    </comment>
    <comment ref="F38" authorId="0" shapeId="0" xr:uid="{D1209592-5137-4799-8470-D667586A3050}">
      <text>
        <r>
          <rPr>
            <sz val="9"/>
            <color indexed="81"/>
            <rFont val="Tahoma"/>
            <family val="2"/>
          </rPr>
          <t xml:space="preserve">Provide the mix-strength to enable comparison to the BC Industry Wide EPD for Ready-Mixed Concrete (2022). Closest available mix-strengths should be selected (e.g., 30 for 31, 60 for 65). </t>
        </r>
      </text>
    </comment>
    <comment ref="G38" authorId="0" shapeId="0" xr:uid="{79EAADD0-865A-4F2B-AB58-12E77810560B}">
      <text>
        <r>
          <rPr>
            <sz val="9"/>
            <color indexed="81"/>
            <rFont val="Tahoma"/>
            <family val="2"/>
          </rPr>
          <t xml:space="preserve">Indicate if the mix is air-entrained to enable comparison to the BC Industry Wide EPD for Ready-Mixed Concrete (2022). </t>
        </r>
      </text>
    </comment>
    <comment ref="I38" authorId="0" shapeId="0" xr:uid="{3F0BC1FF-3069-4BF7-8063-98E584C04C47}">
      <text>
        <r>
          <rPr>
            <sz val="9"/>
            <color indexed="81"/>
            <rFont val="Tahoma"/>
            <family val="2"/>
          </rPr>
          <t>Format: YYYY-MM-DD</t>
        </r>
      </text>
    </comment>
    <comment ref="K38" authorId="0" shapeId="0" xr:uid="{700C875A-D626-4B26-A156-87935D690EF2}">
      <text>
        <r>
          <rPr>
            <sz val="9"/>
            <color indexed="81"/>
            <rFont val="Tahoma"/>
            <family val="2"/>
          </rPr>
          <t xml:space="preserve">For information. Not used in evaluation. 
Baseline values are auto-populated based on the strength and exposure from the BC Industry Wide EPD for Ready-Mixed Concrete (2022). Curing times are not considered in this Baseline comparison. </t>
        </r>
      </text>
    </comment>
    <comment ref="L38" authorId="0" shapeId="0" xr:uid="{29A4CA1A-DED3-43E5-82D3-E1C026F4ABDB}">
      <text>
        <r>
          <rPr>
            <sz val="9"/>
            <color indexed="81"/>
            <rFont val="Tahoma"/>
            <family val="2"/>
          </rPr>
          <t xml:space="preserve">For information. 
Not used in evaluation.
A negative value indicates that the project mix embodied carbon is greater than the BC Baseline embodied carbon. </t>
        </r>
      </text>
    </comment>
    <comment ref="F81" authorId="0" shapeId="0" xr:uid="{97F951A3-FDEA-4050-866F-6E679FA50378}">
      <text>
        <r>
          <rPr>
            <b/>
            <sz val="9"/>
            <color indexed="81"/>
            <rFont val="Tahoma"/>
            <family val="2"/>
          </rPr>
          <t xml:space="preserve">Do not delete formulas. </t>
        </r>
        <r>
          <rPr>
            <sz val="9"/>
            <color indexed="81"/>
            <rFont val="Tahoma"/>
            <family val="2"/>
          </rPr>
          <t xml:space="preserve">The below cells are unlocked to allow for reporting using manual Calculations.
If using Manual Calculations, not recommended, then the summary values shall be reported here. </t>
        </r>
      </text>
    </comment>
    <comment ref="F98" authorId="0" shapeId="0" xr:uid="{F86A3A71-14E2-4CD5-A741-A74D7C4BBFF3}">
      <text>
        <r>
          <rPr>
            <sz val="9"/>
            <color indexed="81"/>
            <rFont val="Tahoma"/>
            <family val="2"/>
          </rPr>
          <t>Trips can be aggregated by month provided that the mode of transport and the transport distance remain consistent.</t>
        </r>
      </text>
    </comment>
    <comment ref="I98" authorId="0" shapeId="0" xr:uid="{AAD59817-DBB9-4EF9-A53D-5AA6D248A21A}">
      <text>
        <r>
          <rPr>
            <sz val="9"/>
            <color indexed="81"/>
            <rFont val="Tahoma"/>
            <family val="2"/>
          </rPr>
          <t>Vehicle-mile factors are appropriate to use when the entire vehicle is dedicated to transporting the reporting company's product. Ton-mile factors are appropriate when the vehicle is shared with products from other companies. 
Based on EPA Emission Factors for Greenhouse Gas Inventories 2025: https://www.epa.gov/system/files/documents/2025-01/ghg-emission-factors-hub-2025.pdf</t>
        </r>
      </text>
    </comment>
    <comment ref="J98" authorId="0" shapeId="0" xr:uid="{B83E8603-CABA-4EDE-96F5-73BBEB2EC62D}">
      <text>
        <r>
          <rPr>
            <sz val="9"/>
            <color indexed="81"/>
            <rFont val="Tahoma"/>
            <family val="2"/>
          </rPr>
          <t>Concrete is typically supplied in m3. Use the standard density of concrete, 2400 kg/m3, to convert.</t>
        </r>
      </text>
    </comment>
    <comment ref="K98" authorId="0" shapeId="0" xr:uid="{B35182BE-AD0D-4548-AE5A-63730E0E5218}">
      <text>
        <r>
          <rPr>
            <sz val="9"/>
            <color indexed="81"/>
            <rFont val="Tahoma"/>
            <family val="2"/>
          </rPr>
          <t>Include the return trip distance if the trip is solely attributable to the project and returning to the point of origin. Otherwise, use best judgement for return trip distances and comment below.</t>
        </r>
      </text>
    </comment>
    <comment ref="G132" authorId="0" shapeId="0" xr:uid="{E917213D-18E0-4478-A245-9851A0A0D3B7}">
      <text>
        <r>
          <rPr>
            <b/>
            <sz val="9"/>
            <color indexed="81"/>
            <rFont val="Tahoma"/>
            <family val="2"/>
          </rPr>
          <t>Do not delete formulas.</t>
        </r>
        <r>
          <rPr>
            <sz val="9"/>
            <color indexed="81"/>
            <rFont val="Tahoma"/>
            <family val="2"/>
          </rPr>
          <t xml:space="preserve"> The below cell is unlocked to allow for reporting using manual Calculations.
If using Manual Calculations, not recommended, then the summary A5.1 value shall be reported here.</t>
        </r>
        <r>
          <rPr>
            <b/>
            <sz val="9"/>
            <color indexed="81"/>
            <rFont val="Tahoma"/>
            <family val="2"/>
          </rPr>
          <t xml:space="preserve"> </t>
        </r>
      </text>
    </comment>
    <comment ref="H132" authorId="0" shapeId="0" xr:uid="{BF99344B-FB56-4166-94EA-01BFA1B897F4}">
      <text>
        <r>
          <rPr>
            <b/>
            <sz val="9"/>
            <color indexed="81"/>
            <rFont val="Tahoma"/>
            <family val="2"/>
          </rPr>
          <t xml:space="preserve">Do not delete formulas. </t>
        </r>
        <r>
          <rPr>
            <sz val="9"/>
            <color indexed="81"/>
            <rFont val="Tahoma"/>
            <family val="2"/>
          </rPr>
          <t xml:space="preserve">The below cell is unlocked to allow for reporting using manual Calculations.
If using Manual Calculations, not recommended, then the summary A5.2 value shall be reported here. </t>
        </r>
      </text>
    </comment>
    <comment ref="I132" authorId="0" shapeId="0" xr:uid="{01788F74-93E5-4296-81E2-719EBBF359A8}">
      <text>
        <r>
          <rPr>
            <sz val="9"/>
            <color indexed="81"/>
            <rFont val="Tahoma"/>
            <family val="2"/>
          </rPr>
          <t xml:space="preserve">Do not delete formulas. The below cell is unlocked to allow for reporting using manual Calculations.
If using Manual Calculations, not recommended, then the summary A5.3 value shall be reported here. </t>
        </r>
      </text>
    </comment>
    <comment ref="K132" authorId="0" shapeId="0" xr:uid="{5BABFEC6-B429-470C-9DB4-F5EDF92BE07C}">
      <text>
        <r>
          <rPr>
            <sz val="9"/>
            <color indexed="81"/>
            <rFont val="Tahoma"/>
            <family val="2"/>
          </rPr>
          <t>There is no penalty if as-build emissions are greater than designed emissions.</t>
        </r>
      </text>
    </comment>
    <comment ref="J134" authorId="0" shapeId="0" xr:uid="{D4AD4192-7065-4AB4-A828-AE068E9954AC}">
      <text>
        <r>
          <rPr>
            <sz val="9"/>
            <color indexed="81"/>
            <rFont val="Tahoma"/>
            <family val="2"/>
          </rPr>
          <t>Auto-filled from the design reporting.</t>
        </r>
      </text>
    </comment>
    <comment ref="J135" authorId="0" shapeId="0" xr:uid="{882DD6AF-8809-45D3-A44B-05A7EDCFBC11}">
      <text>
        <r>
          <rPr>
            <sz val="9"/>
            <color indexed="81"/>
            <rFont val="Tahoma"/>
            <family val="2"/>
          </rPr>
          <t>Negative number indicates that the reported as-built emissions are greater than design emissions.</t>
        </r>
      </text>
    </comment>
    <comment ref="F148" authorId="0" shapeId="0" xr:uid="{CBB80275-8280-4E02-A86E-5358D50E0E05}">
      <text>
        <r>
          <rPr>
            <sz val="9"/>
            <color indexed="81"/>
            <rFont val="Tahoma"/>
            <family val="2"/>
          </rPr>
          <t>Date of invoice, date of activity, Etc. 
Similar data may be aggregated.</t>
        </r>
      </text>
    </comment>
    <comment ref="F156" authorId="0" shapeId="0" xr:uid="{476E64B8-5B6F-416E-B5D5-9B09B78012EF}">
      <text>
        <r>
          <rPr>
            <sz val="9"/>
            <color indexed="81"/>
            <rFont val="Tahoma"/>
            <family val="2"/>
          </rPr>
          <t>Date of invoice, date of activity, Etc. 
Similar data may be aggregated.</t>
        </r>
      </text>
    </comment>
    <comment ref="K156" authorId="0" shapeId="0" xr:uid="{407E9C88-15B3-4882-AE2E-425C1EAB3456}">
      <text>
        <r>
          <rPr>
            <sz val="9"/>
            <color indexed="81"/>
            <rFont val="Tahoma"/>
            <family val="2"/>
          </rPr>
          <t>Include the return trip distance if the trip is solely attributable to the project and returning to the point of origin. Otherwise, use best judgement for return trip distances and comment below.</t>
        </r>
      </text>
    </comment>
    <comment ref="F176" authorId="0" shapeId="0" xr:uid="{B0B20D67-42E0-4E36-A331-88F7B89BE233}">
      <text>
        <r>
          <rPr>
            <sz val="9"/>
            <color indexed="81"/>
            <rFont val="Tahoma"/>
            <family val="2"/>
          </rPr>
          <t>Date of invoice, date of activity, Etc. 
Similar data may be aggregated.</t>
        </r>
      </text>
    </comment>
    <comment ref="F197" authorId="0" shapeId="0" xr:uid="{79C0216B-5805-4012-9839-99447AABED7B}">
      <text>
        <r>
          <rPr>
            <sz val="9"/>
            <color indexed="81"/>
            <rFont val="Tahoma"/>
            <family val="2"/>
          </rPr>
          <t>Date of invoice, date of activity, Etc. 
Similar data may be aggregated.</t>
        </r>
      </text>
    </comment>
    <comment ref="K197" authorId="0" shapeId="0" xr:uid="{485D3486-3A0E-4F9E-9482-6595B7354433}">
      <text>
        <r>
          <rPr>
            <sz val="9"/>
            <color indexed="81"/>
            <rFont val="Tahoma"/>
            <family val="2"/>
          </rPr>
          <t>Include the return trip distance if the trip is solely attributable to the project and returning to the point of origin. Otherwise, use best judgement for return trip distances and comment below.</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Borch, Forest</author>
    <author>Teshnizi, Zahra</author>
  </authors>
  <commentList>
    <comment ref="ES1" authorId="0" shapeId="0" xr:uid="{8F468214-F32B-45E2-9AD0-EF1F256F2648}">
      <text>
        <r>
          <rPr>
            <b/>
            <sz val="9"/>
            <color indexed="81"/>
            <rFont val="Tahoma"/>
            <family val="2"/>
          </rPr>
          <t>Borch, Forest:</t>
        </r>
        <r>
          <rPr>
            <sz val="9"/>
            <color indexed="81"/>
            <rFont val="Tahoma"/>
            <family val="2"/>
          </rPr>
          <t xml:space="preserve">
Column A in BEAM Excel sheet</t>
        </r>
      </text>
    </comment>
    <comment ref="ET1" authorId="0" shapeId="0" xr:uid="{88D77379-52B5-415E-B792-69642CF36AE9}">
      <text>
        <r>
          <rPr>
            <b/>
            <sz val="9"/>
            <color indexed="81"/>
            <rFont val="Tahoma"/>
            <family val="2"/>
          </rPr>
          <t>Borch, Forest:</t>
        </r>
        <r>
          <rPr>
            <sz val="9"/>
            <color indexed="81"/>
            <rFont val="Tahoma"/>
            <family val="2"/>
          </rPr>
          <t xml:space="preserve">
Column B in BEAM Excel Sheet</t>
        </r>
      </text>
    </comment>
    <comment ref="EV1" authorId="0" shapeId="0" xr:uid="{5D644C7C-DB0D-4DAD-9F94-2BFAE3ED65FF}">
      <text>
        <r>
          <rPr>
            <b/>
            <sz val="9"/>
            <color indexed="81"/>
            <rFont val="Tahoma"/>
            <family val="2"/>
          </rPr>
          <t>Borch, Forest:</t>
        </r>
        <r>
          <rPr>
            <sz val="9"/>
            <color indexed="81"/>
            <rFont val="Tahoma"/>
            <family val="2"/>
          </rPr>
          <t xml:space="preserve">
Column Z in BEAM Excel Sheet for Short Cycle materials. 
Column AB in BEAM Excel Sheet for Salvaged materials.</t>
        </r>
      </text>
    </comment>
    <comment ref="EW1" authorId="0" shapeId="0" xr:uid="{15013DCA-4E35-44DE-B8D8-E7952DEBC016}">
      <text>
        <r>
          <rPr>
            <b/>
            <sz val="9"/>
            <color indexed="81"/>
            <rFont val="Tahoma"/>
            <family val="2"/>
          </rPr>
          <t>Borch, Forest:</t>
        </r>
        <r>
          <rPr>
            <sz val="9"/>
            <color indexed="81"/>
            <rFont val="Tahoma"/>
            <family val="2"/>
          </rPr>
          <t xml:space="preserve">
Column AA in the BEAM sheet for short cycle materials. 
Column AC in the BEAM sheet for Salvaged materials. </t>
        </r>
      </text>
    </comment>
    <comment ref="DT3" authorId="0" shapeId="0" xr:uid="{6F6DF8C2-01ED-4AD9-A9F1-57FEFCCBA595}">
      <text>
        <r>
          <rPr>
            <b/>
            <sz val="9"/>
            <color indexed="81"/>
            <rFont val="Tahoma"/>
            <family val="2"/>
          </rPr>
          <t>Borch, Forest:</t>
        </r>
        <r>
          <rPr>
            <sz val="9"/>
            <color indexed="81"/>
            <rFont val="Tahoma"/>
            <family val="2"/>
          </rPr>
          <t xml:space="preserve">
907.185 kg in a short ton</t>
        </r>
      </text>
    </comment>
    <comment ref="EB16" authorId="0" shapeId="0" xr:uid="{40DEB299-1BA7-4E03-8E48-4DE57B9A586D}">
      <text>
        <r>
          <rPr>
            <sz val="9"/>
            <color indexed="81"/>
            <rFont val="Tahoma"/>
            <family val="2"/>
          </rPr>
          <t>Based on EPA transportation emissions factors.</t>
        </r>
      </text>
    </comment>
    <comment ref="CS25" authorId="1" shapeId="0" xr:uid="{6177004A-6656-419A-BF8C-8125AFC1B006}">
      <text>
        <r>
          <rPr>
            <b/>
            <sz val="9"/>
            <color indexed="81"/>
            <rFont val="Tahoma"/>
            <family val="2"/>
          </rPr>
          <t>Teshnizi, Zahra:</t>
        </r>
        <r>
          <rPr>
            <sz val="9"/>
            <color indexed="81"/>
            <rFont val="Tahoma"/>
            <family val="2"/>
          </rPr>
          <t xml:space="preserve">
initial formula was: 
=CF15&amp;CF16&amp;CF17&amp;CF18&amp;CF19&amp;CF20&amp;CF21&amp;CF22&amp;CF23</t>
        </r>
      </text>
    </comment>
    <comment ref="FI101" authorId="0" shapeId="0" xr:uid="{6CA8292D-0103-4DCF-BCEB-7705947B945A}">
      <text>
        <r>
          <rPr>
            <b/>
            <sz val="9"/>
            <color indexed="81"/>
            <rFont val="Tahoma"/>
            <family val="2"/>
          </rPr>
          <t xml:space="preserve">Borch, Fores: 
</t>
        </r>
        <r>
          <rPr>
            <sz val="9"/>
            <color indexed="81"/>
            <rFont val="Tahoma"/>
            <family val="2"/>
          </rPr>
          <t xml:space="preserve">Salvaged products are very rarely product-specific, so will not include.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<sst xmlns="http://schemas.openxmlformats.org/spreadsheetml/2006/main" count="2989" uniqueCount="1687">
  <si>
    <t>Instructions</t>
  </si>
  <si>
    <t>Legend</t>
  </si>
  <si>
    <t>Optional Field</t>
  </si>
  <si>
    <t>Optional Field with Dropdown Options</t>
  </si>
  <si>
    <t>No Manual Entry Required</t>
  </si>
  <si>
    <t>Requirement</t>
  </si>
  <si>
    <t>Description</t>
  </si>
  <si>
    <t>Informative</t>
  </si>
  <si>
    <t>2. Project Info</t>
  </si>
  <si>
    <t>General information about the proposed project and building(s)</t>
  </si>
  <si>
    <t>4. Results &amp; Compliance</t>
  </si>
  <si>
    <t>Embodied carbon emissions results and compliance assessment with Vancouver Building By-law</t>
  </si>
  <si>
    <t>Optional</t>
  </si>
  <si>
    <t>Biogenic carbon and concrete carbonation reporting</t>
  </si>
  <si>
    <t>Project and Building Information</t>
  </si>
  <si>
    <t>Project Information</t>
  </si>
  <si>
    <t>Project Working Title / Name</t>
  </si>
  <si>
    <r>
      <t xml:space="preserve">Address 
</t>
    </r>
    <r>
      <rPr>
        <i/>
        <sz val="9"/>
        <color theme="1" tint="0.34998626667073579"/>
        <rFont val="Arial"/>
        <family val="2"/>
      </rPr>
      <t>(Street No., Street Direction, Street Name)</t>
    </r>
  </si>
  <si>
    <t>City</t>
  </si>
  <si>
    <t>Vancouver</t>
  </si>
  <si>
    <t>Province/State</t>
  </si>
  <si>
    <t>British Columbia (BC)</t>
  </si>
  <si>
    <r>
      <t>Postal Code</t>
    </r>
    <r>
      <rPr>
        <i/>
        <sz val="9"/>
        <color theme="1" tint="0.34998626667073579"/>
        <rFont val="Arial"/>
        <family val="2"/>
      </rPr>
      <t xml:space="preserve">
(A9A 9A9)</t>
    </r>
  </si>
  <si>
    <r>
      <t xml:space="preserve">Secondary Address 
</t>
    </r>
    <r>
      <rPr>
        <i/>
        <sz val="9"/>
        <color theme="1" tint="0.34998626667073579"/>
        <rFont val="Arial"/>
        <family val="2"/>
      </rPr>
      <t>(Street No., Street Direction, Street Name)</t>
    </r>
  </si>
  <si>
    <r>
      <t xml:space="preserve">Secondary Postal Code
</t>
    </r>
    <r>
      <rPr>
        <i/>
        <sz val="9"/>
        <color theme="1" tint="0.34998626667073579"/>
        <rFont val="Arial"/>
        <family val="2"/>
      </rPr>
      <t>(A9A 9A9)</t>
    </r>
  </si>
  <si>
    <t>Number of Buildings in the Project</t>
  </si>
  <si>
    <t>Number of Buildings included in this Design Report</t>
  </si>
  <si>
    <r>
      <t>Projected Date of First Building Permit Application</t>
    </r>
    <r>
      <rPr>
        <i/>
        <sz val="9"/>
        <color theme="1" tint="0.34998626667073579"/>
        <rFont val="Arial"/>
        <family val="2"/>
      </rPr>
      <t xml:space="preserve"> 
(YYYY-MM-DD)</t>
    </r>
  </si>
  <si>
    <r>
      <t xml:space="preserve">Date wbLCA Model Completed </t>
    </r>
    <r>
      <rPr>
        <i/>
        <sz val="9"/>
        <color theme="1" tint="0.34998626667073579"/>
        <rFont val="Arial"/>
        <family val="2"/>
      </rPr>
      <t>(YYYY-MM-DD)</t>
    </r>
  </si>
  <si>
    <r>
      <t xml:space="preserve">Estimated Project Completion Year </t>
    </r>
    <r>
      <rPr>
        <i/>
        <sz val="9"/>
        <color theme="1" tint="0.34998626667073579"/>
        <rFont val="Arial"/>
        <family val="2"/>
      </rPr>
      <t>(YYYY)</t>
    </r>
  </si>
  <si>
    <t>Building(s) Information</t>
  </si>
  <si>
    <r>
      <t xml:space="preserve">Building Name </t>
    </r>
    <r>
      <rPr>
        <i/>
        <sz val="9"/>
        <color theme="1" tint="0.34998626667073579"/>
        <rFont val="Arial"/>
        <family val="2"/>
      </rPr>
      <t>(If different from the Project)</t>
    </r>
  </si>
  <si>
    <r>
      <t xml:space="preserve">Building Address </t>
    </r>
    <r>
      <rPr>
        <i/>
        <sz val="9"/>
        <color theme="1" tint="0.34998626667073579"/>
        <rFont val="Arial"/>
        <family val="2"/>
      </rPr>
      <t>(If different from the Project)</t>
    </r>
  </si>
  <si>
    <r>
      <t xml:space="preserve">Postal Code </t>
    </r>
    <r>
      <rPr>
        <i/>
        <sz val="9"/>
        <color theme="1" tint="0.34998626667073579"/>
        <rFont val="Arial"/>
        <family val="2"/>
      </rPr>
      <t>(If different from the Project)</t>
    </r>
  </si>
  <si>
    <t>Project Phase</t>
  </si>
  <si>
    <t>Permit Application Stage</t>
  </si>
  <si>
    <r>
      <t xml:space="preserve">Percent of Project Phase Completed </t>
    </r>
    <r>
      <rPr>
        <i/>
        <sz val="9"/>
        <color theme="1" tint="0.34998626667073579"/>
        <rFont val="Arial"/>
        <family val="2"/>
      </rPr>
      <t>(%)</t>
    </r>
  </si>
  <si>
    <t>Drawing Set Used for Embodied Carbon Modelling</t>
  </si>
  <si>
    <t>Primary Building Use Type</t>
  </si>
  <si>
    <t>Secondary Building Use Type</t>
  </si>
  <si>
    <t>Construction Type</t>
  </si>
  <si>
    <r>
      <t>Gross Floor Area without Parkade (m</t>
    </r>
    <r>
      <rPr>
        <vertAlign val="superscript"/>
        <sz val="10"/>
        <color theme="1"/>
        <rFont val="Arial"/>
        <family val="2"/>
      </rPr>
      <t>2</t>
    </r>
    <r>
      <rPr>
        <sz val="10"/>
        <color theme="1"/>
        <rFont val="Arial"/>
        <family val="2"/>
      </rPr>
      <t>)</t>
    </r>
  </si>
  <si>
    <r>
      <t>Parkade Gross Floor Area (m</t>
    </r>
    <r>
      <rPr>
        <vertAlign val="superscript"/>
        <sz val="10"/>
        <color theme="1"/>
        <rFont val="Arial"/>
        <family val="2"/>
      </rPr>
      <t>2</t>
    </r>
    <r>
      <rPr>
        <sz val="10"/>
        <color theme="1"/>
        <rFont val="Arial"/>
        <family val="2"/>
      </rPr>
      <t>)</t>
    </r>
  </si>
  <si>
    <t>Storeys Above Grade</t>
  </si>
  <si>
    <t>Storeys Below Grade</t>
  </si>
  <si>
    <t>Parking Type</t>
  </si>
  <si>
    <t>Building Height (m)</t>
  </si>
  <si>
    <t>■ Provide the total number of units and bedrooms in all the buildings included in this Design Report.</t>
  </si>
  <si>
    <t>No. of Units</t>
  </si>
  <si>
    <t>No. of Bedrooms</t>
  </si>
  <si>
    <t>Structure</t>
  </si>
  <si>
    <t>■ Provide this information for the largest building (by gross floor area) included in this Design Report.</t>
  </si>
  <si>
    <t>Primary Structural System</t>
  </si>
  <si>
    <t>Describe</t>
  </si>
  <si>
    <t>Primary Horizontal Gravity System</t>
  </si>
  <si>
    <t>Primary Vertical Gravity System</t>
  </si>
  <si>
    <t>Primary Lateral System</t>
  </si>
  <si>
    <t>Podium</t>
  </si>
  <si>
    <t>Foundation Type</t>
  </si>
  <si>
    <t>Seismic Design Category</t>
  </si>
  <si>
    <t>Risk Category</t>
  </si>
  <si>
    <t>Seismic Site Class</t>
  </si>
  <si>
    <r>
      <t>Allowable Soil Bearing Pressure (kg/m</t>
    </r>
    <r>
      <rPr>
        <vertAlign val="superscript"/>
        <sz val="10"/>
        <color theme="1"/>
        <rFont val="Arial"/>
        <family val="2"/>
      </rPr>
      <t>2</t>
    </r>
    <r>
      <rPr>
        <sz val="10"/>
        <color theme="1"/>
        <rFont val="Arial"/>
        <family val="2"/>
      </rPr>
      <t>)</t>
    </r>
  </si>
  <si>
    <t>Typical Column Grid, Long Direction (m)</t>
  </si>
  <si>
    <t>Typical Column Grid, Short Direction (m)</t>
  </si>
  <si>
    <r>
      <t>Typical Floor Live Load (kg/m</t>
    </r>
    <r>
      <rPr>
        <vertAlign val="superscript"/>
        <sz val="10"/>
        <color theme="1"/>
        <rFont val="Arial"/>
        <family val="2"/>
      </rPr>
      <t>2</t>
    </r>
    <r>
      <rPr>
        <sz val="10"/>
        <color theme="1"/>
        <rFont val="Arial"/>
        <family val="2"/>
      </rPr>
      <t>)</t>
    </r>
  </si>
  <si>
    <r>
      <t>Ground Snow Load (kg/m</t>
    </r>
    <r>
      <rPr>
        <vertAlign val="superscript"/>
        <sz val="10"/>
        <color theme="1"/>
        <rFont val="Arial"/>
        <family val="2"/>
      </rPr>
      <t>2</t>
    </r>
    <r>
      <rPr>
        <sz val="10"/>
        <color theme="1"/>
        <rFont val="Arial"/>
        <family val="2"/>
      </rPr>
      <t>)</t>
    </r>
  </si>
  <si>
    <t>Ultimate Wind Speed (kph)</t>
  </si>
  <si>
    <t>wbLCA Model</t>
  </si>
  <si>
    <r>
      <t>LCA Modeller</t>
    </r>
    <r>
      <rPr>
        <sz val="10"/>
        <color theme="1" tint="0.34998626667073579"/>
        <rFont val="Arial"/>
        <family val="2"/>
      </rPr>
      <t xml:space="preserve"> </t>
    </r>
    <r>
      <rPr>
        <i/>
        <sz val="9"/>
        <color theme="1" tint="0.34998626667073579"/>
        <rFont val="Arial"/>
        <family val="2"/>
      </rPr>
      <t>(Company Name)</t>
    </r>
  </si>
  <si>
    <r>
      <t>LCA Modeller</t>
    </r>
    <r>
      <rPr>
        <sz val="10"/>
        <color theme="1" tint="0.34998626667073579"/>
        <rFont val="Arial"/>
        <family val="2"/>
      </rPr>
      <t xml:space="preserve"> </t>
    </r>
    <r>
      <rPr>
        <i/>
        <sz val="9"/>
        <color theme="1" tint="0.34998626667073579"/>
        <rFont val="Arial"/>
        <family val="2"/>
      </rPr>
      <t>(Contact Person Name)</t>
    </r>
  </si>
  <si>
    <t>Primary Material Quantity Source</t>
  </si>
  <si>
    <t>Software Tool</t>
  </si>
  <si>
    <t>Name of the Software Tool Used</t>
  </si>
  <si>
    <t>Does the tool provide a breakdown of the results by life cycle stages?</t>
  </si>
  <si>
    <t>No</t>
  </si>
  <si>
    <t>Building Life</t>
  </si>
  <si>
    <t>Life Cycle Stages</t>
  </si>
  <si>
    <t>Reporting</t>
  </si>
  <si>
    <t>Compliance</t>
  </si>
  <si>
    <t>Product Stage (A1-A3)</t>
  </si>
  <si>
    <t>Yes</t>
  </si>
  <si>
    <t>Use Stage (B1-B5)</t>
  </si>
  <si>
    <t>End-of-Life Stage (C1-C4)</t>
  </si>
  <si>
    <t>Benefits and Loads Beyond the Building Life Cycle (D1-D4)</t>
  </si>
  <si>
    <t>Results &amp; Compliance</t>
  </si>
  <si>
    <t>Compliance Path and Requirements</t>
  </si>
  <si>
    <t>Compliance Path</t>
  </si>
  <si>
    <t>Compliance Assessment</t>
  </si>
  <si>
    <t>Proposed</t>
  </si>
  <si>
    <t>Benchmark</t>
  </si>
  <si>
    <t>Limit</t>
  </si>
  <si>
    <r>
      <rPr>
        <b/>
        <sz val="10"/>
        <color theme="1"/>
        <rFont val="Arial"/>
        <family val="2"/>
      </rPr>
      <t>Total Embodied Carbon Emissions</t>
    </r>
    <r>
      <rPr>
        <sz val="10"/>
        <color theme="1"/>
        <rFont val="Arial"/>
        <family val="2"/>
      </rPr>
      <t xml:space="preserve"> 
(kg CO</t>
    </r>
    <r>
      <rPr>
        <vertAlign val="subscript"/>
        <sz val="11"/>
        <color theme="1"/>
        <rFont val="Calibri"/>
        <family val="2"/>
        <scheme val="minor"/>
      </rPr>
      <t>2</t>
    </r>
    <r>
      <rPr>
        <sz val="11"/>
        <color theme="1"/>
        <rFont val="Calibri"/>
        <family val="2"/>
        <scheme val="minor"/>
      </rPr>
      <t>e)</t>
    </r>
  </si>
  <si>
    <t>Embodied Carbon Reduction from the Benchmark (%)</t>
  </si>
  <si>
    <t>The proposed design meets the embodied carbon limit</t>
  </si>
  <si>
    <t>Minimum Reduction Required</t>
  </si>
  <si>
    <t>Reduction Achieved</t>
  </si>
  <si>
    <t>Results</t>
  </si>
  <si>
    <t>Proposed Design</t>
  </si>
  <si>
    <t>Modules A-C</t>
  </si>
  <si>
    <t>Baseline</t>
  </si>
  <si>
    <t>Biogenic Carbon</t>
  </si>
  <si>
    <t>Unit of Measure</t>
  </si>
  <si>
    <t>Concrete Carbonation</t>
  </si>
  <si>
    <t>https://tinyurl.com/COV-ECDR</t>
  </si>
  <si>
    <t>File Name:</t>
  </si>
  <si>
    <t>Description:</t>
  </si>
  <si>
    <t>Definitions</t>
  </si>
  <si>
    <t>Category</t>
  </si>
  <si>
    <t>Term</t>
  </si>
  <si>
    <t>Definitions &amp; Description</t>
  </si>
  <si>
    <t>Building Information</t>
  </si>
  <si>
    <t>Concept Design</t>
  </si>
  <si>
    <t>The concept phase includes developing the building concept, investigating its feasibility, and proposing the concept to stakeholders to make a decision to develop the concept further.</t>
  </si>
  <si>
    <t>Schematic Design</t>
  </si>
  <si>
    <t>The schematic phase includes rough drawings or a narrative that illustrate the basic concepts of the building design which most often include spatial relationships as well as basic scale and forms the owner might desire. At this time, initial descriptions of the structural, mechanical, HVAC, plumbing and electrical, interior and exterior finishes and building site are often included. The schematic phase also includes initial cost estimates.</t>
  </si>
  <si>
    <t>Design Development</t>
  </si>
  <si>
    <t>The design development phase involves finalizing the building design and specifying items such as materials, window and door locations and general structural details.</t>
  </si>
  <si>
    <t>Construction Documents</t>
  </si>
  <si>
    <t>The construction document phase includes the development of final architectural, structural, civil, mechanical, and electrical drawings to be used for construction. These drawings are in greater detail than drawings produced during design development and typically include specifications for construction details and materials.</t>
  </si>
  <si>
    <t>Construction</t>
  </si>
  <si>
    <t>The contractor constructs the building in accordance with the construction documents during the construction phase. The architect, engineers, and consultants perform quality control inspections, respond to Requests for Information (RFIs), review and approve technical submittals and generally ensure that the project is constructed by the contractor in accordance with the construction documents.</t>
  </si>
  <si>
    <t>As-Built</t>
  </si>
  <si>
    <t>Concrete: PT Framing</t>
  </si>
  <si>
    <t>Concrete framing with PT tendons and mild reinforcing bars. Includes 2-way slab and 1-way with beams.</t>
  </si>
  <si>
    <t>Concrete: Non-PT Framing</t>
  </si>
  <si>
    <t>Cast-in-place concrete system with only mild reinforcing. Includes 2-way slab and 1-way with beams.</t>
  </si>
  <si>
    <t>Concrete: Precast</t>
  </si>
  <si>
    <t>System of precast elements. System may be pre-stressed and may include a concrete topping.</t>
  </si>
  <si>
    <t>Concrete: Other</t>
  </si>
  <si>
    <t>2/3 of the floor area is composed of a concrete framing system not listed above or a combination of different concrete framing systems.</t>
  </si>
  <si>
    <t>Steel: Frame + Concrete on Metal Deck</t>
  </si>
  <si>
    <t>Concrete or Composite slab on metal deck with steel supports, such as wide-flange beams or open web steel joists (OWSJ).</t>
  </si>
  <si>
    <t>Steel: Frame + Bare Metal Deck</t>
  </si>
  <si>
    <t>Steel framing members with bare metal deck. This system should be selected when a majority of the horizontal framing in the structure is metal roof deck.</t>
  </si>
  <si>
    <t>Steel: Other</t>
  </si>
  <si>
    <t>2/3 of the floor area is composed of a steel framing system not listed above or a combination of different steel framing systems.</t>
  </si>
  <si>
    <t>Wood: Joists and Sheathing</t>
  </si>
  <si>
    <t>Plywood or OSB decking supported by wood joists. Joists may be standard wood or engineered wood.</t>
  </si>
  <si>
    <t>Wood: Engineered Panels</t>
  </si>
  <si>
    <t>CLT, DLT, NLT, GLT or other engineered wood panels. May include concrete topping.</t>
  </si>
  <si>
    <t>Wood: Other</t>
  </si>
  <si>
    <t>2/3 of the floor area is composed of a wood framing system not listed above or a combination of different wood framing systems.</t>
  </si>
  <si>
    <t>Other Material (not concrete, steel, or wood)</t>
  </si>
  <si>
    <t>2/3 of the floor area is composed of a framing system not listed above.</t>
  </si>
  <si>
    <t>Concrete: CIP</t>
  </si>
  <si>
    <t>Cast-in-place concrete columns and walls</t>
  </si>
  <si>
    <t>Precast concrete columns and walls</t>
  </si>
  <si>
    <t>Other Concrete Vertical Gravity System</t>
  </si>
  <si>
    <t>Steel: Columns</t>
  </si>
  <si>
    <t>Steel wide flange or rectangular, square, or round hollow structural section columns</t>
  </si>
  <si>
    <t>Steel: Cold-Formed</t>
  </si>
  <si>
    <t>Cold-formed steel columns and/or Light-frame cold-formed steel bearing walls</t>
  </si>
  <si>
    <t>Other Steel Vertical Gravity System</t>
  </si>
  <si>
    <t>Wood: Mass Timber</t>
  </si>
  <si>
    <t>Mass or heavy timber columns, e.g. Glulam</t>
  </si>
  <si>
    <t>Wood: Light-Frame</t>
  </si>
  <si>
    <t>Light-Frame wood bearing walls</t>
  </si>
  <si>
    <t>Other Wood Vertical Gravity System</t>
  </si>
  <si>
    <t>Masonry</t>
  </si>
  <si>
    <t>Masonry columns and/or bearing walls</t>
  </si>
  <si>
    <t>Other Material (not concrete, steel, wood, or masonry)</t>
  </si>
  <si>
    <t>Not concrete, steel, wood, or masonry</t>
  </si>
  <si>
    <t>Concrete: Shear Walls</t>
  </si>
  <si>
    <t>CIP or Precast Shear Walls</t>
  </si>
  <si>
    <t>Concrete: Moment Frames</t>
  </si>
  <si>
    <t>CIP or Precast Concrete Moment Frames</t>
  </si>
  <si>
    <t>Steel: Braced Frames</t>
  </si>
  <si>
    <t>Steel braced frame, including buckling restrained braces (BRB)</t>
  </si>
  <si>
    <t>Steel: Moment Frames</t>
  </si>
  <si>
    <t>Steel moment frames</t>
  </si>
  <si>
    <t>Other, including steel plate shear walls, steel cantilevered columns, or multiple steel systems including all-steel dual systems</t>
  </si>
  <si>
    <t>Light Frame Shear Panels</t>
  </si>
  <si>
    <t>Wood or cold formed walls with shear panels such as plywood or OSB</t>
  </si>
  <si>
    <t>Masonry: Shear Walls</t>
  </si>
  <si>
    <t>Masonry Shear Walls</t>
  </si>
  <si>
    <t>Wood: Shear Panels</t>
  </si>
  <si>
    <t>Engineered wood shear panels, including CLT</t>
  </si>
  <si>
    <t>Other, including wood cantilevered columns or light-framed walls with shear panels of non-wood materials</t>
  </si>
  <si>
    <t>Other</t>
  </si>
  <si>
    <t>Material not listed above, or no single material predominates (includes Dual Systems with multiple materials)</t>
  </si>
  <si>
    <t>Not a podium building</t>
  </si>
  <si>
    <t>Primary system defined above is on a podium</t>
  </si>
  <si>
    <t>Select this when the majority of floors in the superstructure (excluding slab at grade) are above the podium.</t>
  </si>
  <si>
    <t>Primary system defined above is a podium</t>
  </si>
  <si>
    <t>Select this when the majority of floors in the superstructure (excluding slab at grade) are a part of the podium.</t>
  </si>
  <si>
    <t>Shallow Foundation</t>
  </si>
  <si>
    <t>Spread footings, strip foundations, mat foundations, or raft foundations</t>
  </si>
  <si>
    <t>Deep Foundations 
&lt; 50ft/15m</t>
  </si>
  <si>
    <t>Foundation systems with overall depth (e.g. piles) &lt; 50 feet or 15m</t>
  </si>
  <si>
    <t>Deep Foundations 
&gt; 50ft/15m</t>
  </si>
  <si>
    <t>Foundation systems with overall depth (e.g. piles) &gt; 50 feet or 15m</t>
  </si>
  <si>
    <t>Other Foundation System</t>
  </si>
  <si>
    <t>Other foundations not listed above</t>
  </si>
  <si>
    <t>A (Low Risk)</t>
  </si>
  <si>
    <t>Buildings and other structures that represent a low risk to human life in the event of an earthquake, typically in areas of low seismic activity.</t>
  </si>
  <si>
    <t>B (Low to Moderate Risk)</t>
  </si>
  <si>
    <t>Structures that represent a low-to-moderate risk to human life in the event of an earthquake, typically in areas of low-to-moderate seismic activity.</t>
  </si>
  <si>
    <t>C (Moderate Risk)</t>
  </si>
  <si>
    <t>Structures that represent a moderate risk to human life in the event of an earthquake, typically in areas of moderate seismic activity.</t>
  </si>
  <si>
    <t>D (High Risk)</t>
  </si>
  <si>
    <t>Structures that represent a high risk to human life in the event of an earthquake, typically in areas of high seismic activity.</t>
  </si>
  <si>
    <t>E (High Risk on Soft Soils)</t>
  </si>
  <si>
    <t>Structures that represent a high risk to human life in the event of an earthquake, typically in areas of high seismic activity and with soft soils.</t>
  </si>
  <si>
    <t>F (Very High Risk)</t>
  </si>
  <si>
    <t>Structures that represent a very high risk to human life in the event of an earthquake, typically in areas of very high seismic activity and with soft or problematic soils. These structures require a site-specific evaluation to determine their seismic design parameters.</t>
  </si>
  <si>
    <t>Class A (Hard Rock)</t>
  </si>
  <si>
    <t>This is typically composed of hard rocks that have very high velocities such as crystalline bedrock.</t>
  </si>
  <si>
    <t>Class B (Rock)</t>
  </si>
  <si>
    <t>This category is characterized by rocks that are not as hard as those in Class A, such as sedimentary layers.</t>
  </si>
  <si>
    <t>Class C (Very Dense Soil and Soft Rock)</t>
  </si>
  <si>
    <t>These are dense or stiff soils like hard clay, and also soft rocks like hard shale or weathered rock.</t>
  </si>
  <si>
    <t>Class D (Stiff Soil)</t>
  </si>
  <si>
    <t>This class is typical for urban areas and is composed of stiff soil, which could be clay, silt, or a mixture of these.</t>
  </si>
  <si>
    <t>Class E (Soft Clay Soil)</t>
  </si>
  <si>
    <t>These are soft soils with high plasticity, such as clay, and soils that are prone to significant ground motion amplification.</t>
  </si>
  <si>
    <t>Class F (Soils Requiring Site-Specific Evaluations)</t>
  </si>
  <si>
    <t>These are soils that are vulnerable to potential failure or collapse under seismic loading, such as liquefiable soils, quicksand, peat, etc. These soils require site-specific evaluations to determine their properties.</t>
  </si>
  <si>
    <r>
      <rPr>
        <b/>
        <sz val="14"/>
        <color theme="1"/>
        <rFont val="Arial"/>
        <family val="2"/>
      </rPr>
      <t>Embodied Carbon Design Report</t>
    </r>
    <r>
      <rPr>
        <b/>
        <sz val="10"/>
        <color theme="1"/>
        <rFont val="Arial"/>
        <family val="2"/>
      </rPr>
      <t xml:space="preserve">
Part 3 Buildings</t>
    </r>
  </si>
  <si>
    <t>Current Project Phase</t>
  </si>
  <si>
    <t>Permit Phase</t>
  </si>
  <si>
    <t>% of Project Phase Complete</t>
  </si>
  <si>
    <t>Drawing Set</t>
  </si>
  <si>
    <t>Allowable Soil Bearing Pressure (psf)</t>
  </si>
  <si>
    <t>Baseline Scenario</t>
  </si>
  <si>
    <t>Green Building Rating System</t>
  </si>
  <si>
    <t>Material Quantity Source</t>
  </si>
  <si>
    <t>Policy Requirement</t>
  </si>
  <si>
    <t>LCA or EC Software Tool</t>
  </si>
  <si>
    <t>One Click LCA</t>
  </si>
  <si>
    <t>Scope</t>
  </si>
  <si>
    <t xml:space="preserve">Compliance Optional Scope </t>
  </si>
  <si>
    <t xml:space="preserve">Relative to A1-A3 </t>
  </si>
  <si>
    <t>Biogenic Carbon Inclusion</t>
  </si>
  <si>
    <t>Elements Life Span</t>
  </si>
  <si>
    <t>Compliance (Don't move or change this section)</t>
  </si>
  <si>
    <t>Biogenic Carbon Calculation Methodology</t>
  </si>
  <si>
    <t>Raw Data File Description</t>
  </si>
  <si>
    <t>Alberta (AB)</t>
  </si>
  <si>
    <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phase</t>
    </r>
    <r>
      <rPr>
        <sz val="11"/>
        <rFont val="Helvetica"/>
        <family val="2"/>
      </rPr>
      <t xml:space="preserve"> </t>
    </r>
    <r>
      <rPr>
        <sz val="11"/>
        <rFont val="Calibri"/>
        <family val="2"/>
        <scheme val="minor"/>
      </rPr>
      <t>includes</t>
    </r>
    <r>
      <rPr>
        <sz val="11"/>
        <rFont val="Helvetica"/>
        <family val="2"/>
      </rPr>
      <t xml:space="preserve"> </t>
    </r>
    <r>
      <rPr>
        <sz val="11"/>
        <rFont val="Calibri"/>
        <family val="2"/>
        <scheme val="minor"/>
      </rPr>
      <t>developing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investigating</t>
    </r>
    <r>
      <rPr>
        <sz val="11"/>
        <rFont val="Helvetica"/>
        <family val="2"/>
      </rPr>
      <t xml:space="preserve"> </t>
    </r>
    <r>
      <rPr>
        <sz val="11"/>
        <rFont val="Calibri"/>
        <family val="2"/>
        <scheme val="minor"/>
      </rPr>
      <t>its</t>
    </r>
    <r>
      <rPr>
        <sz val="11"/>
        <rFont val="Helvetica"/>
        <family val="2"/>
      </rPr>
      <t xml:space="preserve"> </t>
    </r>
    <r>
      <rPr>
        <sz val="11"/>
        <rFont val="Calibri"/>
        <family val="2"/>
        <scheme val="minor"/>
      </rPr>
      <t>feasibility,</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proposing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stakeholders</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make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decision</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develop</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further.</t>
    </r>
  </si>
  <si>
    <t>Rezoning Permit</t>
  </si>
  <si>
    <t>Conceptual Design</t>
  </si>
  <si>
    <t>A-1 (Assembly - Performing Art)</t>
  </si>
  <si>
    <t>New Construction</t>
  </si>
  <si>
    <t>Attached</t>
  </si>
  <si>
    <t>Concrete</t>
  </si>
  <si>
    <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PT</t>
    </r>
    <r>
      <rPr>
        <sz val="9.9499999999999993"/>
        <color rgb="FF000000"/>
        <rFont val="Helvetica"/>
        <family val="2"/>
      </rPr>
      <t xml:space="preserve"> </t>
    </r>
    <r>
      <rPr>
        <sz val="9.9499999999999993"/>
        <color rgb="FF000000"/>
        <rFont val="Arial"/>
        <family val="2"/>
      </rPr>
      <t>tendons</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mild</t>
    </r>
    <r>
      <rPr>
        <sz val="9.9499999999999993"/>
        <color rgb="FF000000"/>
        <rFont val="Helvetica"/>
        <family val="2"/>
      </rPr>
      <t xml:space="preserve"> </t>
    </r>
    <r>
      <rPr>
        <sz val="9.9499999999999993"/>
        <color rgb="FF000000"/>
        <rFont val="Arial"/>
        <family val="2"/>
      </rPr>
      <t>reinforcing</t>
    </r>
    <r>
      <rPr>
        <sz val="9.9499999999999993"/>
        <color rgb="FF000000"/>
        <rFont val="Helvetica"/>
        <family val="2"/>
      </rPr>
      <t xml:space="preserve"> </t>
    </r>
    <r>
      <rPr>
        <sz val="9.9499999999999993"/>
        <color rgb="FF000000"/>
        <rFont val="Arial"/>
        <family val="2"/>
      </rPr>
      <t>bars.</t>
    </r>
    <r>
      <rPr>
        <sz val="9.9499999999999993"/>
        <color rgb="FF000000"/>
        <rFont val="Helvetica"/>
        <family val="2"/>
      </rPr>
      <t xml:space="preserve"> </t>
    </r>
    <r>
      <rPr>
        <sz val="9.9499999999999993"/>
        <color rgb="FF000000"/>
        <rFont val="Arial"/>
        <family val="2"/>
      </rPr>
      <t>Includes</t>
    </r>
    <r>
      <rPr>
        <sz val="9.9499999999999993"/>
        <color rgb="FF000000"/>
        <rFont val="Helvetica"/>
        <family val="2"/>
      </rPr>
      <t xml:space="preserve"> </t>
    </r>
    <r>
      <rPr>
        <sz val="9.9499999999999993"/>
        <color rgb="FF000000"/>
        <rFont val="Arial"/>
        <family val="2"/>
      </rPr>
      <t>2-way</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and 1-way</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beams.</t>
    </r>
  </si>
  <si>
    <r>
      <t>Cast-in-place</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t>
    </r>
    <r>
      <rPr>
        <sz val="9.9499999999999993"/>
        <rFont val="Helvetica"/>
        <family val="2"/>
      </rPr>
      <t xml:space="preserve"> </t>
    </r>
    <r>
      <rPr>
        <sz val="9.9499999999999993"/>
        <rFont val="Arial"/>
        <family val="2"/>
      </rPr>
      <t>walls</t>
    </r>
  </si>
  <si>
    <r>
      <t>CIP</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Precast</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</si>
  <si>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if</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does</t>
    </r>
    <r>
      <rPr>
        <sz val="11"/>
        <rFont val="Helvetica"/>
        <family val="2"/>
      </rPr>
      <t xml:space="preserve"> </t>
    </r>
    <r>
      <rPr>
        <sz val="11"/>
        <rFont val="Calibri"/>
        <family val="2"/>
        <scheme val="minor"/>
      </rPr>
      <t>not</t>
    </r>
    <r>
      <rPr>
        <sz val="11"/>
        <rFont val="Helvetica"/>
        <family val="2"/>
      </rPr>
      <t xml:space="preserve"> </t>
    </r>
    <r>
      <rPr>
        <sz val="11"/>
        <rFont val="Calibri"/>
        <family val="2"/>
        <scheme val="minor"/>
      </rPr>
      <t>have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podium</t>
    </r>
    <r>
      <rPr>
        <sz val="11"/>
        <rFont val="Helvetica"/>
        <family val="2"/>
      </rPr>
      <t xml:space="preserve"> </t>
    </r>
    <r>
      <rPr>
        <sz val="11"/>
        <rFont val="Calibri"/>
        <family val="2"/>
        <scheme val="minor"/>
      </rPr>
      <t>(see</t>
    </r>
    <r>
      <rPr>
        <sz val="11"/>
        <rFont val="Helvetica"/>
        <family val="2"/>
      </rPr>
      <t xml:space="preserve"> </t>
    </r>
    <r>
      <rPr>
        <sz val="11"/>
        <rFont val="Calibri"/>
        <family val="2"/>
        <scheme val="minor"/>
      </rPr>
      <t>definition</t>
    </r>
    <r>
      <rPr>
        <sz val="11"/>
        <rFont val="Helvetica"/>
        <family val="2"/>
      </rPr>
      <t xml:space="preserve"> </t>
    </r>
    <r>
      <rPr>
        <sz val="11"/>
        <rFont val="Calibri"/>
        <family val="2"/>
        <scheme val="minor"/>
      </rPr>
      <t>below).</t>
    </r>
  </si>
  <si>
    <r>
      <t>Spread</t>
    </r>
    <r>
      <rPr>
        <sz val="11"/>
        <rFont val="Helvetica"/>
        <family val="2"/>
      </rPr>
      <t xml:space="preserve"> </t>
    </r>
    <r>
      <rPr>
        <sz val="11"/>
        <rFont val="Calibri"/>
        <family val="2"/>
        <scheme val="minor"/>
      </rPr>
      <t>footings,</t>
    </r>
    <r>
      <rPr>
        <sz val="11"/>
        <rFont val="Helvetica"/>
        <family val="2"/>
      </rPr>
      <t xml:space="preserve"> </t>
    </r>
    <r>
      <rPr>
        <sz val="11"/>
        <rFont val="Calibri"/>
        <family val="2"/>
        <scheme val="minor"/>
      </rPr>
      <t>strip</t>
    </r>
    <r>
      <rPr>
        <sz val="11"/>
        <rFont val="Helvetica"/>
        <family val="2"/>
      </rPr>
      <t xml:space="preserve"> </t>
    </r>
    <r>
      <rPr>
        <sz val="11"/>
        <rFont val="Calibri"/>
        <family val="2"/>
        <scheme val="minor"/>
      </rPr>
      <t>foundations,</t>
    </r>
    <r>
      <rPr>
        <sz val="11"/>
        <rFont val="Helvetica"/>
        <family val="2"/>
      </rPr>
      <t xml:space="preserve"> </t>
    </r>
    <r>
      <rPr>
        <sz val="11"/>
        <rFont val="Calibri"/>
        <family val="2"/>
        <scheme val="minor"/>
      </rPr>
      <t>mat</t>
    </r>
    <r>
      <rPr>
        <sz val="11"/>
        <rFont val="Helvetica"/>
        <family val="2"/>
      </rPr>
      <t xml:space="preserve"> </t>
    </r>
    <r>
      <rPr>
        <sz val="11"/>
        <rFont val="Calibri"/>
        <family val="2"/>
        <scheme val="minor"/>
      </rPr>
      <t>foundations,</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raft</t>
    </r>
    <r>
      <rPr>
        <sz val="11"/>
        <rFont val="Helvetica"/>
        <family val="2"/>
      </rPr>
      <t xml:space="preserve"> </t>
    </r>
    <r>
      <rPr>
        <sz val="11"/>
        <rFont val="Calibri"/>
        <family val="2"/>
        <scheme val="minor"/>
      </rPr>
      <t>foundations</t>
    </r>
  </si>
  <si>
    <t xml:space="preserve"> I (low risk to human life)</t>
  </si>
  <si>
    <t>Typology-Based Estimates</t>
  </si>
  <si>
    <t>CoV Rezoning</t>
  </si>
  <si>
    <t>Athena Impact Estimator</t>
  </si>
  <si>
    <t>Life Cycle Carbon</t>
  </si>
  <si>
    <t>None</t>
  </si>
  <si>
    <t>kgC</t>
  </si>
  <si>
    <t>Default Tool Assumptions</t>
  </si>
  <si>
    <t>f multiplier</t>
  </si>
  <si>
    <t>Compliance dates</t>
  </si>
  <si>
    <t>f (EC limit factor)</t>
  </si>
  <si>
    <t>Development Permit</t>
  </si>
  <si>
    <t>A-2 (Assembly - Other)</t>
  </si>
  <si>
    <t>Detached</t>
  </si>
  <si>
    <t>Wood-Light Frame</t>
  </si>
  <si>
    <r>
      <t>Cast-in-place</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only</t>
    </r>
    <r>
      <rPr>
        <sz val="9.9499999999999993"/>
        <color rgb="FF000000"/>
        <rFont val="Helvetica"/>
        <family val="2"/>
      </rPr>
      <t xml:space="preserve"> </t>
    </r>
    <r>
      <rPr>
        <sz val="9.9499999999999993"/>
        <color rgb="FF000000"/>
        <rFont val="Arial"/>
        <family val="2"/>
      </rPr>
      <t>mild</t>
    </r>
    <r>
      <rPr>
        <sz val="9.9499999999999993"/>
        <color rgb="FF000000"/>
        <rFont val="Helvetica"/>
        <family val="2"/>
      </rPr>
      <t xml:space="preserve"> </t>
    </r>
    <r>
      <rPr>
        <sz val="9.9499999999999993"/>
        <color rgb="FF000000"/>
        <rFont val="Arial"/>
        <family val="2"/>
      </rPr>
      <t>reinforcing.</t>
    </r>
    <r>
      <rPr>
        <sz val="9.9499999999999993"/>
        <color rgb="FF000000"/>
        <rFont val="Helvetica"/>
        <family val="2"/>
      </rPr>
      <t xml:space="preserve"> </t>
    </r>
    <r>
      <rPr>
        <sz val="9.9499999999999993"/>
        <color rgb="FF000000"/>
        <rFont val="Arial"/>
        <family val="2"/>
      </rPr>
      <t>Includes</t>
    </r>
    <r>
      <rPr>
        <sz val="9.9499999999999993"/>
        <color rgb="FF000000"/>
        <rFont val="Helvetica"/>
        <family val="2"/>
      </rPr>
      <t xml:space="preserve"> </t>
    </r>
    <r>
      <rPr>
        <sz val="9.9499999999999993"/>
        <color rgb="FF000000"/>
        <rFont val="Arial"/>
        <family val="2"/>
      </rPr>
      <t>2-way</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1-way</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beams.</t>
    </r>
  </si>
  <si>
    <r>
      <t>Precast</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t>
    </r>
    <r>
      <rPr>
        <sz val="9.9499999999999993"/>
        <rFont val="Helvetica"/>
        <family val="2"/>
      </rPr>
      <t xml:space="preserve"> </t>
    </r>
    <r>
      <rPr>
        <sz val="9.9499999999999993"/>
        <rFont val="Arial"/>
        <family val="2"/>
      </rPr>
      <t>walls</t>
    </r>
  </si>
  <si>
    <r>
      <t>CIP</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Precast</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Moment</t>
    </r>
    <r>
      <rPr>
        <sz val="9.9499999999999993"/>
        <rFont val="Helvetica"/>
        <family val="2"/>
      </rPr>
      <t xml:space="preserve"> </t>
    </r>
    <r>
      <rPr>
        <sz val="9.9499999999999993"/>
        <rFont val="Arial"/>
        <family val="2"/>
      </rPr>
      <t>Frames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</si>
  <si>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when</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majority</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floors</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the</t>
    </r>
    <r>
      <rPr>
        <sz val="11"/>
        <rFont val="Helvetica"/>
        <family val="2"/>
      </rPr>
      <t xml:space="preserve"> </t>
    </r>
    <r>
      <rPr>
        <i/>
        <sz val="11"/>
        <rFont val="Calibri"/>
        <family val="2"/>
        <scheme val="minor"/>
      </rPr>
      <t>superstructure</t>
    </r>
    <r>
      <rPr>
        <sz val="11"/>
        <rFont val="Helvetica"/>
        <family val="2"/>
      </rPr>
      <t xml:space="preserve"> </t>
    </r>
    <r>
      <rPr>
        <sz val="11"/>
        <rFont val="Calibri"/>
        <family val="2"/>
        <scheme val="minor"/>
      </rPr>
      <t>(excluding</t>
    </r>
    <r>
      <rPr>
        <sz val="11"/>
        <rFont val="Helvetica"/>
        <family val="2"/>
      </rPr>
      <t xml:space="preserve"> </t>
    </r>
    <r>
      <rPr>
        <sz val="11"/>
        <rFont val="Calibri"/>
        <family val="2"/>
        <scheme val="minor"/>
      </rPr>
      <t>slab</t>
    </r>
    <r>
      <rPr>
        <sz val="11"/>
        <rFont val="Helvetica"/>
        <family val="2"/>
      </rPr>
      <t xml:space="preserve"> </t>
    </r>
    <r>
      <rPr>
        <sz val="11"/>
        <rFont val="Calibri"/>
        <family val="2"/>
        <scheme val="minor"/>
      </rPr>
      <t>at</t>
    </r>
    <r>
      <rPr>
        <sz val="11"/>
        <rFont val="Helvetica"/>
        <family val="2"/>
      </rPr>
      <t xml:space="preserve"> </t>
    </r>
    <r>
      <rPr>
        <sz val="11"/>
        <rFont val="Calibri"/>
        <family val="2"/>
        <scheme val="minor"/>
      </rPr>
      <t>grade)</t>
    </r>
    <r>
      <rPr>
        <sz val="11"/>
        <rFont val="Helvetica"/>
        <family val="2"/>
      </rPr>
      <t xml:space="preserve"> </t>
    </r>
    <r>
      <rPr>
        <sz val="11"/>
        <rFont val="Calibri"/>
        <family val="2"/>
        <scheme val="minor"/>
      </rPr>
      <t>are</t>
    </r>
    <r>
      <rPr>
        <sz val="11"/>
        <rFont val="Helvetica"/>
        <family val="2"/>
      </rPr>
      <t xml:space="preserve"> </t>
    </r>
    <r>
      <rPr>
        <sz val="11"/>
        <rFont val="Calibri"/>
        <family val="2"/>
        <scheme val="minor"/>
      </rPr>
      <t>above</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podium.</t>
    </r>
  </si>
  <si>
    <t>Deep Foundations &lt; 50ft/15m</t>
  </si>
  <si>
    <r>
      <t>Foundation</t>
    </r>
    <r>
      <rPr>
        <sz val="11"/>
        <rFont val="Helvetica"/>
        <family val="2"/>
      </rPr>
      <t xml:space="preserve"> </t>
    </r>
    <r>
      <rPr>
        <sz val="11"/>
        <rFont val="Calibri"/>
        <family val="2"/>
        <scheme val="minor"/>
      </rPr>
      <t>systems</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overall</t>
    </r>
    <r>
      <rPr>
        <sz val="11"/>
        <rFont val="Helvetica"/>
        <family val="2"/>
      </rPr>
      <t xml:space="preserve"> </t>
    </r>
    <r>
      <rPr>
        <sz val="11"/>
        <rFont val="Calibri"/>
        <family val="2"/>
        <scheme val="minor"/>
      </rPr>
      <t>depth</t>
    </r>
    <r>
      <rPr>
        <sz val="11"/>
        <rFont val="Helvetica"/>
        <family val="2"/>
      </rPr>
      <t xml:space="preserve"> </t>
    </r>
    <r>
      <rPr>
        <sz val="11"/>
        <rFont val="Calibri"/>
        <family val="2"/>
        <scheme val="minor"/>
      </rPr>
      <t>(e.g.</t>
    </r>
    <r>
      <rPr>
        <sz val="11"/>
        <rFont val="Helvetica"/>
        <family val="2"/>
      </rPr>
      <t xml:space="preserve"> </t>
    </r>
    <r>
      <rPr>
        <sz val="11"/>
        <rFont val="Calibri"/>
        <family val="2"/>
        <scheme val="minor"/>
      </rPr>
      <t>piles)</t>
    </r>
    <r>
      <rPr>
        <sz val="11"/>
        <rFont val="Helvetica"/>
        <family val="2"/>
      </rPr>
      <t xml:space="preserve"> </t>
    </r>
    <r>
      <rPr>
        <sz val="11"/>
        <rFont val="Calibri"/>
        <family val="2"/>
        <scheme val="minor"/>
      </rPr>
      <t>&lt;</t>
    </r>
    <r>
      <rPr>
        <sz val="11"/>
        <rFont val="Helvetica"/>
        <family val="2"/>
      </rPr>
      <t xml:space="preserve"> </t>
    </r>
    <r>
      <rPr>
        <sz val="11"/>
        <rFont val="Calibri"/>
        <family val="2"/>
        <scheme val="minor"/>
      </rPr>
      <t>50</t>
    </r>
    <r>
      <rPr>
        <sz val="11"/>
        <rFont val="Helvetica"/>
        <family val="2"/>
      </rPr>
      <t xml:space="preserve"> </t>
    </r>
    <r>
      <rPr>
        <sz val="11"/>
        <rFont val="Calibri"/>
        <family val="2"/>
        <scheme val="minor"/>
      </rPr>
      <t>feet</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15m</t>
    </r>
  </si>
  <si>
    <t xml:space="preserve"> II (all buildings and other structures)</t>
  </si>
  <si>
    <t>Project Drawing Takeoffs</t>
  </si>
  <si>
    <t>CoV VBBL</t>
  </si>
  <si>
    <t>Life Cycle Carbon &amp; LCA for LEED</t>
  </si>
  <si>
    <t>All</t>
  </si>
  <si>
    <t>B1-B5</t>
  </si>
  <si>
    <r>
      <t>kgCO</t>
    </r>
    <r>
      <rPr>
        <b/>
        <vertAlign val="subscript"/>
        <sz val="11"/>
        <color theme="1"/>
        <rFont val="Calibri"/>
        <family val="2"/>
        <scheme val="minor"/>
      </rPr>
      <t>2</t>
    </r>
    <r>
      <rPr>
        <b/>
        <sz val="11"/>
        <color theme="1"/>
        <rFont val="Calibri"/>
        <family val="2"/>
        <scheme val="minor"/>
      </rPr>
      <t>e</t>
    </r>
  </si>
  <si>
    <t>Project or Product-specific Data</t>
  </si>
  <si>
    <t xml:space="preserve">WWF Biogenic Carbon Footprint Calculator </t>
  </si>
  <si>
    <t>Manitoba (MB)</t>
  </si>
  <si>
    <r>
      <t>The</t>
    </r>
    <r>
      <rPr>
        <sz val="11"/>
        <rFont val="Helvetica"/>
        <family val="2"/>
      </rPr>
      <t xml:space="preserve"> </t>
    </r>
    <r>
      <rPr>
        <sz val="11"/>
        <rFont val="Calibri"/>
        <family val="2"/>
        <scheme val="minor"/>
      </rPr>
      <t>design</t>
    </r>
    <r>
      <rPr>
        <sz val="11"/>
        <rFont val="Helvetica"/>
        <family val="2"/>
      </rPr>
      <t xml:space="preserve"> </t>
    </r>
    <r>
      <rPr>
        <sz val="11"/>
        <rFont val="Calibri"/>
        <family val="2"/>
        <scheme val="minor"/>
      </rPr>
      <t>development</t>
    </r>
    <r>
      <rPr>
        <sz val="11"/>
        <rFont val="Helvetica"/>
        <family val="2"/>
      </rPr>
      <t xml:space="preserve"> </t>
    </r>
    <r>
      <rPr>
        <sz val="11"/>
        <rFont val="Calibri"/>
        <family val="2"/>
        <scheme val="minor"/>
      </rPr>
      <t>phase</t>
    </r>
    <r>
      <rPr>
        <sz val="11"/>
        <rFont val="Helvetica"/>
        <family val="2"/>
      </rPr>
      <t xml:space="preserve"> </t>
    </r>
    <r>
      <rPr>
        <sz val="11"/>
        <rFont val="Calibri"/>
        <family val="2"/>
        <scheme val="minor"/>
      </rPr>
      <t>involves</t>
    </r>
    <r>
      <rPr>
        <sz val="11"/>
        <rFont val="Helvetica"/>
        <family val="2"/>
      </rPr>
      <t xml:space="preserve"> </t>
    </r>
    <r>
      <rPr>
        <sz val="11"/>
        <rFont val="Calibri"/>
        <family val="2"/>
        <scheme val="minor"/>
      </rPr>
      <t>finalizing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design</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specifying</t>
    </r>
    <r>
      <rPr>
        <sz val="11"/>
        <rFont val="Helvetica"/>
        <family val="2"/>
      </rPr>
      <t xml:space="preserve"> </t>
    </r>
    <r>
      <rPr>
        <sz val="11"/>
        <rFont val="Calibri"/>
        <family val="2"/>
        <scheme val="minor"/>
      </rPr>
      <t>items</t>
    </r>
    <r>
      <rPr>
        <sz val="11"/>
        <rFont val="Helvetica"/>
        <family val="2"/>
      </rPr>
      <t xml:space="preserve"> </t>
    </r>
    <r>
      <rPr>
        <sz val="11"/>
        <rFont val="Calibri"/>
        <family val="2"/>
        <scheme val="minor"/>
      </rPr>
      <t>such</t>
    </r>
    <r>
      <rPr>
        <sz val="11"/>
        <rFont val="Helvetica"/>
        <family val="2"/>
      </rPr>
      <t xml:space="preserve"> </t>
    </r>
    <r>
      <rPr>
        <sz val="11"/>
        <rFont val="Calibri"/>
        <family val="2"/>
        <scheme val="minor"/>
      </rPr>
      <t>as</t>
    </r>
    <r>
      <rPr>
        <sz val="11"/>
        <rFont val="Helvetica"/>
        <family val="2"/>
      </rPr>
      <t xml:space="preserve"> </t>
    </r>
    <r>
      <rPr>
        <sz val="11"/>
        <rFont val="Calibri"/>
        <family val="2"/>
        <scheme val="minor"/>
      </rPr>
      <t>materials,</t>
    </r>
    <r>
      <rPr>
        <sz val="11"/>
        <rFont val="Helvetica"/>
        <family val="2"/>
      </rPr>
      <t xml:space="preserve"> </t>
    </r>
    <r>
      <rPr>
        <sz val="11"/>
        <rFont val="Calibri"/>
        <family val="2"/>
        <scheme val="minor"/>
      </rPr>
      <t>window</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door</t>
    </r>
    <r>
      <rPr>
        <sz val="11"/>
        <rFont val="Helvetica"/>
        <family val="2"/>
      </rPr>
      <t xml:space="preserve"> </t>
    </r>
    <r>
      <rPr>
        <sz val="11"/>
        <rFont val="Calibri"/>
        <family val="2"/>
        <scheme val="minor"/>
      </rPr>
      <t>locations</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general</t>
    </r>
    <r>
      <rPr>
        <sz val="11"/>
        <rFont val="Helvetica"/>
        <family val="2"/>
      </rPr>
      <t xml:space="preserve"> </t>
    </r>
    <r>
      <rPr>
        <sz val="11"/>
        <rFont val="Calibri"/>
        <family val="2"/>
        <scheme val="minor"/>
      </rPr>
      <t>structural</t>
    </r>
    <r>
      <rPr>
        <sz val="11"/>
        <rFont val="Helvetica"/>
        <family val="2"/>
      </rPr>
      <t xml:space="preserve"> </t>
    </r>
    <r>
      <rPr>
        <sz val="11"/>
        <rFont val="Calibri"/>
        <family val="2"/>
        <scheme val="minor"/>
      </rPr>
      <t>details.</t>
    </r>
  </si>
  <si>
    <t>Rezoning Submission</t>
  </si>
  <si>
    <t>A-3 (Assembly - Arena)</t>
  </si>
  <si>
    <t>Surface</t>
  </si>
  <si>
    <t>Wood-Mass Timber</t>
  </si>
  <si>
    <r>
      <t>System</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precast</t>
    </r>
    <r>
      <rPr>
        <sz val="9.9499999999999993"/>
        <color rgb="FF000000"/>
        <rFont val="Helvetica"/>
        <family val="2"/>
      </rPr>
      <t xml:space="preserve"> </t>
    </r>
    <r>
      <rPr>
        <sz val="9.9499999999999993"/>
        <color rgb="FF000000"/>
        <rFont val="Arial"/>
        <family val="2"/>
      </rPr>
      <t>elements.</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prestressed</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include</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topping.</t>
    </r>
  </si>
  <si>
    <r>
      <t>Other</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</si>
  <si>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all-steel</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</si>
  <si>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when</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majority</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floors</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the</t>
    </r>
    <r>
      <rPr>
        <sz val="11"/>
        <rFont val="Helvetica"/>
        <family val="2"/>
      </rPr>
      <t xml:space="preserve"> </t>
    </r>
    <r>
      <rPr>
        <i/>
        <sz val="11"/>
        <rFont val="Calibri"/>
        <family val="2"/>
        <scheme val="minor"/>
      </rPr>
      <t>superstructure</t>
    </r>
    <r>
      <rPr>
        <sz val="11"/>
        <rFont val="Helvetica"/>
        <family val="2"/>
      </rPr>
      <t xml:space="preserve"> </t>
    </r>
    <r>
      <rPr>
        <sz val="11"/>
        <rFont val="Calibri"/>
        <family val="2"/>
        <scheme val="minor"/>
      </rPr>
      <t>(excluding</t>
    </r>
    <r>
      <rPr>
        <sz val="11"/>
        <rFont val="Helvetica"/>
        <family val="2"/>
      </rPr>
      <t xml:space="preserve"> </t>
    </r>
    <r>
      <rPr>
        <sz val="11"/>
        <rFont val="Calibri"/>
        <family val="2"/>
        <scheme val="minor"/>
      </rPr>
      <t>slab</t>
    </r>
    <r>
      <rPr>
        <sz val="11"/>
        <rFont val="Helvetica"/>
        <family val="2"/>
      </rPr>
      <t xml:space="preserve"> </t>
    </r>
    <r>
      <rPr>
        <sz val="11"/>
        <rFont val="Calibri"/>
        <family val="2"/>
        <scheme val="minor"/>
      </rPr>
      <t>at</t>
    </r>
    <r>
      <rPr>
        <sz val="11"/>
        <rFont val="Helvetica"/>
        <family val="2"/>
      </rPr>
      <t xml:space="preserve"> </t>
    </r>
    <r>
      <rPr>
        <sz val="11"/>
        <rFont val="Calibri"/>
        <family val="2"/>
        <scheme val="minor"/>
      </rPr>
      <t>grade)</t>
    </r>
    <r>
      <rPr>
        <sz val="11"/>
        <rFont val="Helvetica"/>
        <family val="2"/>
      </rPr>
      <t xml:space="preserve"> </t>
    </r>
    <r>
      <rPr>
        <sz val="11"/>
        <rFont val="Calibri"/>
        <family val="2"/>
        <scheme val="minor"/>
      </rPr>
      <t>are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part</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podium.</t>
    </r>
  </si>
  <si>
    <t>Deep Foundations &gt; 50ft/15m</t>
  </si>
  <si>
    <r>
      <t>Foundation</t>
    </r>
    <r>
      <rPr>
        <sz val="11"/>
        <rFont val="Helvetica"/>
        <family val="2"/>
      </rPr>
      <t xml:space="preserve"> </t>
    </r>
    <r>
      <rPr>
        <sz val="11"/>
        <rFont val="Calibri"/>
        <family val="2"/>
        <scheme val="minor"/>
      </rPr>
      <t>systems</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overall</t>
    </r>
    <r>
      <rPr>
        <sz val="11"/>
        <rFont val="Helvetica"/>
        <family val="2"/>
      </rPr>
      <t xml:space="preserve"> </t>
    </r>
    <r>
      <rPr>
        <sz val="11"/>
        <rFont val="Calibri"/>
        <family val="2"/>
        <scheme val="minor"/>
      </rPr>
      <t>depth</t>
    </r>
    <r>
      <rPr>
        <sz val="11"/>
        <rFont val="Helvetica"/>
        <family val="2"/>
      </rPr>
      <t xml:space="preserve"> </t>
    </r>
    <r>
      <rPr>
        <sz val="11"/>
        <rFont val="Calibri"/>
        <family val="2"/>
        <scheme val="minor"/>
      </rPr>
      <t>(e.g.</t>
    </r>
    <r>
      <rPr>
        <sz val="11"/>
        <rFont val="Helvetica"/>
        <family val="2"/>
      </rPr>
      <t xml:space="preserve"> </t>
    </r>
    <r>
      <rPr>
        <sz val="11"/>
        <rFont val="Calibri"/>
        <family val="2"/>
        <scheme val="minor"/>
      </rPr>
      <t>piles)</t>
    </r>
    <r>
      <rPr>
        <sz val="11"/>
        <rFont val="Helvetica"/>
        <family val="2"/>
      </rPr>
      <t xml:space="preserve"> </t>
    </r>
    <r>
      <rPr>
        <sz val="11"/>
        <rFont val="Calibri"/>
        <family val="2"/>
        <scheme val="minor"/>
      </rPr>
      <t>&gt;</t>
    </r>
    <r>
      <rPr>
        <sz val="11"/>
        <rFont val="Helvetica"/>
        <family val="2"/>
      </rPr>
      <t xml:space="preserve"> </t>
    </r>
    <r>
      <rPr>
        <sz val="11"/>
        <rFont val="Calibri"/>
        <family val="2"/>
        <scheme val="minor"/>
      </rPr>
      <t>50</t>
    </r>
    <r>
      <rPr>
        <sz val="11"/>
        <rFont val="Helvetica"/>
        <family val="2"/>
      </rPr>
      <t xml:space="preserve"> </t>
    </r>
    <r>
      <rPr>
        <sz val="11"/>
        <rFont val="Calibri"/>
        <family val="2"/>
        <scheme val="minor"/>
      </rPr>
      <t>feet</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15m</t>
    </r>
  </si>
  <si>
    <t xml:space="preserve"> III (buildings with a substantial risk to cause economic impact and/or mass disruption)</t>
  </si>
  <si>
    <t>LEED v4.0 MRc1</t>
  </si>
  <si>
    <t>BIM / Revit Takeoffs</t>
  </si>
  <si>
    <t>TBS Greening Govt. WBLCA</t>
  </si>
  <si>
    <t>C1-C4</t>
  </si>
  <si>
    <t>Vancouver's Embodied Carbon Guidelines, Appendix C, Table 4</t>
  </si>
  <si>
    <t>Baseline Path</t>
  </si>
  <si>
    <t>Data from Previous Projects</t>
  </si>
  <si>
    <t>* Athena &gt; LCA Results by Assembly Group (A-C)</t>
  </si>
  <si>
    <t>New Brunswick (NB)</t>
  </si>
  <si>
    <t>Occupancy Permit</t>
  </si>
  <si>
    <t>A-4 (Assembly - Open Air Gathering)</t>
  </si>
  <si>
    <t>Above grade</t>
  </si>
  <si>
    <t>Steel</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</si>
  <si>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</si>
  <si>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Steel</t>
    </r>
    <r>
      <rPr>
        <sz val="9.9499999999999993"/>
        <rFont val="Helvetica"/>
        <family val="2"/>
      </rPr>
      <t xml:space="preserve"> </t>
    </r>
    <r>
      <rPr>
        <sz val="9.9499999999999993"/>
        <rFont val="Arial"/>
        <family val="2"/>
      </rPr>
      <t>wide</t>
    </r>
    <r>
      <rPr>
        <sz val="9.9499999999999993"/>
        <rFont val="Helvetica"/>
        <family val="2"/>
      </rPr>
      <t xml:space="preserve"> </t>
    </r>
    <r>
      <rPr>
        <sz val="9.9499999999999993"/>
        <rFont val="Arial"/>
        <family val="2"/>
      </rPr>
      <t>flange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rectangular,</t>
    </r>
    <r>
      <rPr>
        <sz val="9.9499999999999993"/>
        <rFont val="Helvetica"/>
        <family val="2"/>
      </rPr>
      <t xml:space="preserve"> </t>
    </r>
    <r>
      <rPr>
        <sz val="9.9499999999999993"/>
        <rFont val="Arial"/>
        <family val="2"/>
      </rPr>
      <t>square,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round</t>
    </r>
    <r>
      <rPr>
        <sz val="9.9499999999999993"/>
        <rFont val="Helvetica"/>
        <family val="2"/>
      </rPr>
      <t xml:space="preserve"> </t>
    </r>
    <r>
      <rPr>
        <sz val="9.9499999999999993"/>
        <rFont val="Arial"/>
        <family val="2"/>
      </rPr>
      <t>hollow</t>
    </r>
    <r>
      <rPr>
        <sz val="9.9499999999999993"/>
        <rFont val="Helvetica"/>
        <family val="2"/>
      </rPr>
      <t xml:space="preserve"> </t>
    </r>
    <r>
      <rPr>
        <sz val="9.9499999999999993"/>
        <rFont val="Arial"/>
        <family val="2"/>
      </rPr>
      <t>structural</t>
    </r>
    <r>
      <rPr>
        <sz val="9.9499999999999993"/>
        <rFont val="Helvetica"/>
        <family val="2"/>
      </rPr>
      <t xml:space="preserve"> </t>
    </r>
    <r>
      <rPr>
        <sz val="9.9499999999999993"/>
        <rFont val="Arial"/>
        <family val="2"/>
      </rPr>
      <t>section</t>
    </r>
    <r>
      <rPr>
        <sz val="9.9499999999999993"/>
        <rFont val="Helvetica"/>
        <family val="2"/>
      </rPr>
      <t xml:space="preserve"> </t>
    </r>
    <r>
      <rPr>
        <sz val="9.9499999999999993"/>
        <rFont val="Arial"/>
        <family val="2"/>
      </rPr>
      <t>columns</t>
    </r>
  </si>
  <si>
    <r>
      <t>Steel</t>
    </r>
    <r>
      <rPr>
        <sz val="9.9499999999999993"/>
        <rFont val="Helvetica"/>
        <family val="2"/>
      </rPr>
      <t xml:space="preserve"> </t>
    </r>
    <r>
      <rPr>
        <sz val="9.9499999999999993"/>
        <rFont val="Arial"/>
        <family val="2"/>
      </rPr>
      <t>braced</t>
    </r>
    <r>
      <rPr>
        <sz val="9.9499999999999993"/>
        <rFont val="Helvetica"/>
        <family val="2"/>
      </rPr>
      <t xml:space="preserve"> </t>
    </r>
    <r>
      <rPr>
        <sz val="9.9499999999999993"/>
        <rFont val="Arial"/>
        <family val="2"/>
      </rPr>
      <t>frame,</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buckling</t>
    </r>
    <r>
      <rPr>
        <sz val="9.9499999999999993"/>
        <rFont val="Helvetica"/>
        <family val="2"/>
      </rPr>
      <t xml:space="preserve"> </t>
    </r>
    <r>
      <rPr>
        <sz val="9.9499999999999993"/>
        <rFont val="Arial"/>
        <family val="2"/>
      </rPr>
      <t>restrained</t>
    </r>
    <r>
      <rPr>
        <sz val="9.9499999999999993"/>
        <rFont val="Helvetica"/>
        <family val="2"/>
      </rPr>
      <t xml:space="preserve"> </t>
    </r>
    <r>
      <rPr>
        <sz val="9.9499999999999993"/>
        <rFont val="Arial"/>
        <family val="2"/>
      </rPr>
      <t>braces</t>
    </r>
    <r>
      <rPr>
        <sz val="9.9499999999999993"/>
        <rFont val="Helvetica"/>
        <family val="2"/>
      </rPr>
      <t xml:space="preserve"> </t>
    </r>
    <r>
      <rPr>
        <sz val="9.9499999999999993"/>
        <rFont val="Arial"/>
        <family val="2"/>
      </rPr>
      <t>(BRB)</t>
    </r>
  </si>
  <si>
    <r>
      <t>Other</t>
    </r>
    <r>
      <rPr>
        <sz val="11"/>
        <rFont val="Helvetica"/>
        <family val="2"/>
      </rPr>
      <t xml:space="preserve"> </t>
    </r>
    <r>
      <rPr>
        <sz val="11"/>
        <rFont val="Calibri"/>
        <family val="2"/>
        <scheme val="minor"/>
      </rPr>
      <t>foundations</t>
    </r>
  </si>
  <si>
    <t xml:space="preserve"> IV (buildings and other structures designated as essential facilities or the failure of which could pose a substantial hazard to the community)</t>
  </si>
  <si>
    <t>LEED v4.1 MRc1</t>
  </si>
  <si>
    <t>Cost Estimate</t>
  </si>
  <si>
    <t>TGS v4</t>
  </si>
  <si>
    <t>EC3</t>
  </si>
  <si>
    <t>Athena &gt; LCA Results by Assembly Group (A-D)</t>
  </si>
  <si>
    <t>Newfoundland and Labrador (NL)</t>
  </si>
  <si>
    <t>Demolition Permit</t>
  </si>
  <si>
    <t>B-1 (Detention)</t>
  </si>
  <si>
    <t>Below grade</t>
  </si>
  <si>
    <t>Hybrid-Steel/Concrete</t>
  </si>
  <si>
    <r>
      <t>Concrete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Composite</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on</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deck</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supports,</t>
    </r>
    <r>
      <rPr>
        <sz val="9.9499999999999993"/>
        <color rgb="FF000000"/>
        <rFont val="Helvetica"/>
        <family val="2"/>
      </rPr>
      <t xml:space="preserve"> </t>
    </r>
    <r>
      <rPr>
        <sz val="9.9499999999999993"/>
        <color rgb="FF000000"/>
        <rFont val="Arial"/>
        <family val="2"/>
      </rPr>
      <t>such</t>
    </r>
    <r>
      <rPr>
        <sz val="9.9499999999999993"/>
        <color rgb="FF000000"/>
        <rFont val="Helvetica"/>
        <family val="2"/>
      </rPr>
      <t xml:space="preserve"> </t>
    </r>
    <r>
      <rPr>
        <sz val="9.9499999999999993"/>
        <color rgb="FF000000"/>
        <rFont val="Arial"/>
        <family val="2"/>
      </rPr>
      <t>as</t>
    </r>
    <r>
      <rPr>
        <sz val="9.9499999999999993"/>
        <color rgb="FF000000"/>
        <rFont val="Helvetica"/>
        <family val="2"/>
      </rPr>
      <t xml:space="preserve"> </t>
    </r>
    <r>
      <rPr>
        <sz val="9.9499999999999993"/>
        <color rgb="FF000000"/>
        <rFont val="Arial"/>
        <family val="2"/>
      </rPr>
      <t>wide-flange</t>
    </r>
    <r>
      <rPr>
        <sz val="9.9499999999999993"/>
        <color rgb="FF000000"/>
        <rFont val="Helvetica"/>
        <family val="2"/>
      </rPr>
      <t xml:space="preserve"> </t>
    </r>
    <r>
      <rPr>
        <sz val="9.9499999999999993"/>
        <color rgb="FF000000"/>
        <rFont val="Arial"/>
        <family val="2"/>
      </rPr>
      <t>beams</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open</t>
    </r>
    <r>
      <rPr>
        <sz val="9.9499999999999993"/>
        <color rgb="FF000000"/>
        <rFont val="Helvetica"/>
        <family val="2"/>
      </rPr>
      <t xml:space="preserve"> </t>
    </r>
    <r>
      <rPr>
        <sz val="9.9499999999999993"/>
        <color rgb="FF000000"/>
        <rFont val="Arial"/>
        <family val="2"/>
      </rPr>
      <t>web</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(OWSJ).</t>
    </r>
  </si>
  <si>
    <r>
      <t>Cold-formed</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and/or</t>
    </r>
    <r>
      <rPr>
        <sz val="9.9499999999999993"/>
        <rFont val="Helvetica"/>
        <family val="2"/>
      </rPr>
      <t xml:space="preserve"> </t>
    </r>
    <r>
      <rPr>
        <sz val="9.9499999999999993"/>
        <rFont val="Arial"/>
        <family val="2"/>
      </rPr>
      <t>Light-frame</t>
    </r>
    <r>
      <rPr>
        <sz val="9.9499999999999993"/>
        <rFont val="Helvetica"/>
        <family val="2"/>
      </rPr>
      <t xml:space="preserve"> </t>
    </r>
    <r>
      <rPr>
        <sz val="9.9499999999999993"/>
        <rFont val="Arial"/>
        <family val="2"/>
      </rPr>
      <t>cold-formed</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bearing</t>
    </r>
    <r>
      <rPr>
        <sz val="9.9499999999999993"/>
        <rFont val="Helvetica"/>
        <family val="2"/>
      </rPr>
      <t xml:space="preserve"> </t>
    </r>
    <r>
      <rPr>
        <sz val="9.9499999999999993"/>
        <rFont val="Arial"/>
        <family val="2"/>
      </rPr>
      <t>walls</t>
    </r>
  </si>
  <si>
    <r>
      <t>Steel</t>
    </r>
    <r>
      <rPr>
        <sz val="9.9499999999999993"/>
        <rFont val="Helvetica"/>
        <family val="2"/>
      </rPr>
      <t xml:space="preserve"> </t>
    </r>
    <r>
      <rPr>
        <sz val="9.9499999999999993"/>
        <rFont val="Arial"/>
        <family val="2"/>
      </rPr>
      <t>moment</t>
    </r>
    <r>
      <rPr>
        <sz val="9.9499999999999993"/>
        <rFont val="Helvetica"/>
        <family val="2"/>
      </rPr>
      <t xml:space="preserve"> </t>
    </r>
    <r>
      <rPr>
        <sz val="9.9499999999999993"/>
        <rFont val="Arial"/>
        <family val="2"/>
      </rPr>
      <t>frames</t>
    </r>
  </si>
  <si>
    <t>ILFI Zero Carbon Certification</t>
  </si>
  <si>
    <t>UBC</t>
  </si>
  <si>
    <t>Nova Scotia (NS)</t>
  </si>
  <si>
    <r>
      <t>The</t>
    </r>
    <r>
      <rPr>
        <sz val="11"/>
        <rFont val="Helvetica"/>
        <family val="2"/>
      </rPr>
      <t xml:space="preserve"> </t>
    </r>
    <r>
      <rPr>
        <sz val="11"/>
        <rFont val="Calibri"/>
        <family val="2"/>
        <scheme val="minor"/>
      </rPr>
      <t>contractor</t>
    </r>
    <r>
      <rPr>
        <sz val="11"/>
        <rFont val="Helvetica"/>
        <family val="2"/>
      </rPr>
      <t xml:space="preserve"> </t>
    </r>
    <r>
      <rPr>
        <sz val="11"/>
        <rFont val="Calibri"/>
        <family val="2"/>
        <scheme val="minor"/>
      </rPr>
      <t>has</t>
    </r>
    <r>
      <rPr>
        <sz val="11"/>
        <rFont val="Helvetica"/>
        <family val="2"/>
      </rPr>
      <t xml:space="preserve"> </t>
    </r>
    <r>
      <rPr>
        <sz val="11"/>
        <rFont val="Calibri"/>
        <family val="2"/>
        <scheme val="minor"/>
      </rPr>
      <t>completed</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construction</t>
    </r>
    <r>
      <rPr>
        <sz val="11"/>
        <rFont val="Helvetica"/>
        <family val="2"/>
      </rPr>
      <t xml:space="preserve"> </t>
    </r>
    <r>
      <rPr>
        <sz val="11"/>
        <rFont val="Calibri"/>
        <family val="2"/>
        <scheme val="minor"/>
      </rPr>
      <t>contract</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accordance</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construction</t>
    </r>
    <r>
      <rPr>
        <sz val="11"/>
        <rFont val="Helvetica"/>
        <family val="2"/>
      </rPr>
      <t xml:space="preserve"> </t>
    </r>
    <r>
      <rPr>
        <sz val="11"/>
        <rFont val="Calibri"/>
        <family val="2"/>
        <scheme val="minor"/>
      </rPr>
      <t>documents,</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Certificate</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Occupancy</t>
    </r>
    <r>
      <rPr>
        <sz val="11"/>
        <rFont val="Helvetica"/>
        <family val="2"/>
      </rPr>
      <t xml:space="preserve"> </t>
    </r>
    <r>
      <rPr>
        <sz val="11"/>
        <rFont val="Calibri"/>
        <family val="2"/>
        <scheme val="minor"/>
      </rPr>
      <t>has</t>
    </r>
    <r>
      <rPr>
        <sz val="11"/>
        <rFont val="Helvetica"/>
        <family val="2"/>
      </rPr>
      <t xml:space="preserve"> </t>
    </r>
    <r>
      <rPr>
        <sz val="11"/>
        <rFont val="Calibri"/>
        <family val="2"/>
        <scheme val="minor"/>
      </rPr>
      <t>been</t>
    </r>
    <r>
      <rPr>
        <sz val="11"/>
        <rFont val="Helvetica"/>
        <family val="2"/>
      </rPr>
      <t xml:space="preserve"> </t>
    </r>
    <r>
      <rPr>
        <sz val="11"/>
        <rFont val="Calibri"/>
        <family val="2"/>
        <scheme val="minor"/>
      </rPr>
      <t>issued.</t>
    </r>
  </si>
  <si>
    <t>Building Permit</t>
  </si>
  <si>
    <t>B-2 (Treatment)</t>
  </si>
  <si>
    <t>Hybrid-Mass Timber/Concrete</t>
  </si>
  <si>
    <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members</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bare</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deck.</t>
    </r>
    <r>
      <rPr>
        <sz val="9.9499999999999993"/>
        <color rgb="FF000000"/>
        <rFont val="Helvetica"/>
        <family val="2"/>
      </rPr>
      <t xml:space="preserve"> </t>
    </r>
    <r>
      <rPr>
        <sz val="9.9499999999999993"/>
        <color rgb="FF000000"/>
        <rFont val="Arial"/>
        <family val="2"/>
      </rPr>
      <t>This</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should</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selected</t>
    </r>
    <r>
      <rPr>
        <sz val="9.9499999999999993"/>
        <color rgb="FF000000"/>
        <rFont val="Helvetica"/>
        <family val="2"/>
      </rPr>
      <t xml:space="preserve"> </t>
    </r>
    <r>
      <rPr>
        <sz val="9.9499999999999993"/>
        <color rgb="FF000000"/>
        <rFont val="Arial"/>
        <family val="2"/>
      </rPr>
      <t>when</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majority</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horizontal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in</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structure</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roof</t>
    </r>
    <r>
      <rPr>
        <sz val="9.9499999999999993"/>
        <color rgb="FF000000"/>
        <rFont val="Helvetica"/>
        <family val="2"/>
      </rPr>
      <t xml:space="preserve"> </t>
    </r>
    <r>
      <rPr>
        <sz val="9.9499999999999993"/>
        <color rgb="FF000000"/>
        <rFont val="Arial"/>
        <family val="2"/>
      </rPr>
      <t>deck.</t>
    </r>
  </si>
  <si>
    <r>
      <t>Other</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</si>
  <si>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plate</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all-steel</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</si>
  <si>
    <t>ILFI LBC Energy Petal</t>
  </si>
  <si>
    <t>Client Demand</t>
  </si>
  <si>
    <t xml:space="preserve">Embodied Carbon Pathfinder </t>
  </si>
  <si>
    <t>* Athena &gt; LCA Results by Life Cycle Stage</t>
  </si>
  <si>
    <t>Ontario (ON)</t>
  </si>
  <si>
    <t>Issued for Tender</t>
  </si>
  <si>
    <t>B-3 (Care)</t>
  </si>
  <si>
    <t>Hybrid-Mass Timber/Concrete/Steel</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</si>
  <si>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</si>
  <si>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Mass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heavy</t>
    </r>
    <r>
      <rPr>
        <sz val="9.9499999999999993"/>
        <rFont val="Helvetica"/>
        <family val="2"/>
      </rPr>
      <t xml:space="preserve"> </t>
    </r>
    <r>
      <rPr>
        <sz val="9.9499999999999993"/>
        <rFont val="Arial"/>
        <family val="2"/>
      </rPr>
      <t>timber</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e.g.</t>
    </r>
    <r>
      <rPr>
        <sz val="9.9499999999999993"/>
        <rFont val="Helvetica"/>
        <family val="2"/>
      </rPr>
      <t xml:space="preserve"> </t>
    </r>
    <r>
      <rPr>
        <sz val="9.9499999999999993"/>
        <rFont val="Arial"/>
        <family val="2"/>
      </rPr>
      <t>Glulam</t>
    </r>
  </si>
  <si>
    <r>
      <t>Wood</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cold</t>
    </r>
    <r>
      <rPr>
        <sz val="9.9499999999999993"/>
        <rFont val="Helvetica"/>
        <family val="2"/>
      </rPr>
      <t xml:space="preserve"> </t>
    </r>
    <r>
      <rPr>
        <sz val="9.9499999999999993"/>
        <rFont val="Arial"/>
        <family val="2"/>
      </rPr>
      <t>formed</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such</t>
    </r>
    <r>
      <rPr>
        <sz val="9.9499999999999993"/>
        <rFont val="Helvetica"/>
        <family val="2"/>
      </rPr>
      <t xml:space="preserve"> </t>
    </r>
    <r>
      <rPr>
        <sz val="9.9499999999999993"/>
        <rFont val="Arial"/>
        <family val="2"/>
      </rPr>
      <t>as</t>
    </r>
    <r>
      <rPr>
        <sz val="9.9499999999999993"/>
        <rFont val="Helvetica"/>
        <family val="2"/>
      </rPr>
      <t xml:space="preserve"> </t>
    </r>
    <r>
      <rPr>
        <sz val="9.9499999999999993"/>
        <rFont val="Arial"/>
        <family val="2"/>
      </rPr>
      <t>plywood</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OSB</t>
    </r>
  </si>
  <si>
    <t>* Tally &gt; Results excluding Biogenic Carbon</t>
  </si>
  <si>
    <t>Prince Edward Island (PE)</t>
  </si>
  <si>
    <t>Issued for Construction</t>
  </si>
  <si>
    <t>C (Residential)</t>
  </si>
  <si>
    <r>
      <t>Plywood</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OSB</t>
    </r>
    <r>
      <rPr>
        <sz val="9.9499999999999993"/>
        <color rgb="FF000000"/>
        <rFont val="Helvetica"/>
        <family val="2"/>
      </rPr>
      <t xml:space="preserve"> </t>
    </r>
    <r>
      <rPr>
        <sz val="9.9499999999999993"/>
        <color rgb="FF000000"/>
        <rFont val="Arial"/>
        <family val="2"/>
      </rPr>
      <t>decking</t>
    </r>
    <r>
      <rPr>
        <sz val="9.9499999999999993"/>
        <color rgb="FF000000"/>
        <rFont val="Helvetica"/>
        <family val="2"/>
      </rPr>
      <t xml:space="preserve"> </t>
    </r>
    <r>
      <rPr>
        <sz val="9.9499999999999993"/>
        <color rgb="FF000000"/>
        <rFont val="Arial"/>
        <family val="2"/>
      </rPr>
      <t>supported</t>
    </r>
    <r>
      <rPr>
        <sz val="9.9499999999999993"/>
        <color rgb="FF000000"/>
        <rFont val="Helvetica"/>
        <family val="2"/>
      </rPr>
      <t xml:space="preserve"> </t>
    </r>
    <r>
      <rPr>
        <sz val="9.9499999999999993"/>
        <color rgb="FF000000"/>
        <rFont val="Arial"/>
        <family val="2"/>
      </rPr>
      <t>by</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standard</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engineered</t>
    </r>
    <r>
      <rPr>
        <sz val="9.9499999999999993"/>
        <color rgb="FF000000"/>
        <rFont val="Helvetica"/>
        <family val="2"/>
      </rPr>
      <t xml:space="preserve"> </t>
    </r>
    <r>
      <rPr>
        <sz val="9.9499999999999993"/>
        <color rgb="FF000000"/>
        <rFont val="Arial"/>
        <family val="2"/>
      </rPr>
      <t>wood.</t>
    </r>
  </si>
  <si>
    <r>
      <t>Light-Frame</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bearing</t>
    </r>
    <r>
      <rPr>
        <sz val="9.9499999999999993"/>
        <rFont val="Helvetica"/>
        <family val="2"/>
      </rPr>
      <t xml:space="preserve"> </t>
    </r>
    <r>
      <rPr>
        <sz val="9.9499999999999993"/>
        <rFont val="Arial"/>
        <family val="2"/>
      </rPr>
      <t>walls</t>
    </r>
  </si>
  <si>
    <r>
      <t>Masonry</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</si>
  <si>
    <t>Tally &gt; Results including Biogenic Carbon</t>
  </si>
  <si>
    <t>Quebec (QC)</t>
  </si>
  <si>
    <t>D (Business &amp; Personal Services)</t>
  </si>
  <si>
    <r>
      <t>CLT,</t>
    </r>
    <r>
      <rPr>
        <sz val="9.9499999999999993"/>
        <color rgb="FF000000"/>
        <rFont val="Helvetica"/>
        <family val="2"/>
      </rPr>
      <t xml:space="preserve"> </t>
    </r>
    <r>
      <rPr>
        <sz val="9.9499999999999993"/>
        <color rgb="FF000000"/>
        <rFont val="Arial"/>
        <family val="2"/>
      </rPr>
      <t>DLT,</t>
    </r>
    <r>
      <rPr>
        <sz val="9.9499999999999993"/>
        <color rgb="FF000000"/>
        <rFont val="Helvetica"/>
        <family val="2"/>
      </rPr>
      <t xml:space="preserve"> </t>
    </r>
    <r>
      <rPr>
        <sz val="9.9499999999999993"/>
        <color rgb="FF000000"/>
        <rFont val="Arial"/>
        <family val="2"/>
      </rPr>
      <t>NLT,</t>
    </r>
    <r>
      <rPr>
        <sz val="9.9499999999999993"/>
        <color rgb="FF000000"/>
        <rFont val="Helvetica"/>
        <family val="2"/>
      </rPr>
      <t xml:space="preserve"> </t>
    </r>
    <r>
      <rPr>
        <sz val="9.9499999999999993"/>
        <color rgb="FF000000"/>
        <rFont val="Arial"/>
        <family val="2"/>
      </rPr>
      <t>GLT</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other</t>
    </r>
    <r>
      <rPr>
        <sz val="9.9499999999999993"/>
        <color rgb="FF000000"/>
        <rFont val="Helvetica"/>
        <family val="2"/>
      </rPr>
      <t xml:space="preserve"> </t>
    </r>
    <r>
      <rPr>
        <sz val="9.9499999999999993"/>
        <color rgb="FF000000"/>
        <rFont val="Arial"/>
        <family val="2"/>
      </rPr>
      <t>engineered</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panels.</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include</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topping.</t>
    </r>
  </si>
  <si>
    <r>
      <t>Other</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</si>
  <si>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Engineered</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CLT</t>
    </r>
  </si>
  <si>
    <t>Saskatchewan (SK)</t>
  </si>
  <si>
    <t>E (Mercantile)</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</si>
  <si>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</si>
  <si>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light-framed</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of</t>
    </r>
    <r>
      <rPr>
        <sz val="9.9499999999999993"/>
        <rFont val="Helvetica"/>
        <family val="2"/>
      </rPr>
      <t xml:space="preserve"> </t>
    </r>
    <r>
      <rPr>
        <sz val="9.9499999999999993"/>
        <rFont val="Arial"/>
        <family val="2"/>
      </rPr>
      <t>non-wood</t>
    </r>
    <r>
      <rPr>
        <sz val="9.9499999999999993"/>
        <rFont val="Helvetica"/>
        <family val="2"/>
      </rPr>
      <t xml:space="preserve"> </t>
    </r>
    <r>
      <rPr>
        <sz val="9.9499999999999993"/>
        <rFont val="Arial"/>
        <family val="2"/>
      </rPr>
      <t>materials</t>
    </r>
  </si>
  <si>
    <t>Northwest Territories (NT)</t>
  </si>
  <si>
    <t>F-1 (Industrial - High-Hazard)</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</si>
  <si>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</si>
  <si>
    <r>
      <t>Material</t>
    </r>
    <r>
      <rPr>
        <sz val="9.9499999999999993"/>
        <rFont val="Helvetica"/>
        <family val="2"/>
      </rPr>
      <t xml:space="preserve"> </t>
    </r>
    <r>
      <rPr>
        <sz val="9.9499999999999993"/>
        <rFont val="Arial"/>
        <family val="2"/>
      </rPr>
      <t>not</t>
    </r>
    <r>
      <rPr>
        <sz val="9.9499999999999993"/>
        <rFont val="Helvetica"/>
        <family val="2"/>
      </rPr>
      <t xml:space="preserve"> </t>
    </r>
    <r>
      <rPr>
        <sz val="9.9499999999999993"/>
        <rFont val="Arial"/>
        <family val="2"/>
      </rPr>
      <t>listed</t>
    </r>
    <r>
      <rPr>
        <sz val="9.9499999999999993"/>
        <rFont val="Helvetica"/>
        <family val="2"/>
      </rPr>
      <t xml:space="preserve"> </t>
    </r>
    <r>
      <rPr>
        <sz val="9.9499999999999993"/>
        <rFont val="Arial"/>
        <family val="2"/>
      </rPr>
      <t>above,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no</t>
    </r>
    <r>
      <rPr>
        <sz val="9.9499999999999993"/>
        <rFont val="Helvetica"/>
        <family val="2"/>
      </rPr>
      <t xml:space="preserve"> </t>
    </r>
    <r>
      <rPr>
        <sz val="9.9499999999999993"/>
        <rFont val="Arial"/>
        <family val="2"/>
      </rPr>
      <t>single</t>
    </r>
    <r>
      <rPr>
        <sz val="9.9499999999999993"/>
        <rFont val="Helvetica"/>
        <family val="2"/>
      </rPr>
      <t xml:space="preserve"> </t>
    </r>
    <r>
      <rPr>
        <sz val="9.9499999999999993"/>
        <rFont val="Arial"/>
        <family val="2"/>
      </rPr>
      <t>material</t>
    </r>
    <r>
      <rPr>
        <sz val="9.9499999999999993"/>
        <rFont val="Helvetica"/>
        <family val="2"/>
      </rPr>
      <t xml:space="preserve"> </t>
    </r>
    <r>
      <rPr>
        <sz val="9.9499999999999993"/>
        <rFont val="Arial"/>
        <family val="2"/>
      </rPr>
      <t>predominates</t>
    </r>
    <r>
      <rPr>
        <sz val="9.9499999999999993"/>
        <rFont val="Helvetica"/>
        <family val="2"/>
      </rPr>
      <t xml:space="preserve"> </t>
    </r>
    <r>
      <rPr>
        <sz val="9.9499999999999993"/>
        <rFont val="Arial"/>
        <family val="2"/>
      </rPr>
      <t>(includes</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materials)</t>
    </r>
  </si>
  <si>
    <t>Yukon (YT)</t>
  </si>
  <si>
    <t>F-2 (Industrial - Medium-Hazard)</t>
  </si>
  <si>
    <t>Nunavut (NU)</t>
  </si>
  <si>
    <t>F-3 (Industrial - Low-Hazard)</t>
  </si>
  <si>
    <t>US-AL (Alabama)</t>
  </si>
  <si>
    <t>US-AK (Alaska)</t>
  </si>
  <si>
    <t>US-AZ (Arizona)</t>
  </si>
  <si>
    <t>US-AR (Arkansas)</t>
  </si>
  <si>
    <t>US-CA (California)</t>
  </si>
  <si>
    <t>US-CO (Colorado)</t>
  </si>
  <si>
    <t>US-CT (Connecticut)</t>
  </si>
  <si>
    <t>US-DE (Delaware)</t>
  </si>
  <si>
    <t>US-FL (Florida)</t>
  </si>
  <si>
    <t>US-GA (Georgia)</t>
  </si>
  <si>
    <t>US-HI (Hawaii)</t>
  </si>
  <si>
    <t>US-ID (Idaho)</t>
  </si>
  <si>
    <t>US-IL (Illinois)</t>
  </si>
  <si>
    <t>US-IN (Indiana)</t>
  </si>
  <si>
    <t>US-IA (Iowa)</t>
  </si>
  <si>
    <t>US-KS (Kansas)</t>
  </si>
  <si>
    <t>US-KY (Kentucky)</t>
  </si>
  <si>
    <t>US-LA (Louisiana)</t>
  </si>
  <si>
    <t>US-ME (Maine)</t>
  </si>
  <si>
    <t>US-MD (Maryland)</t>
  </si>
  <si>
    <t>US-MA (Massachusetts)</t>
  </si>
  <si>
    <t>US-MI (Michigan)</t>
  </si>
  <si>
    <t>US-MN (Minnesota)</t>
  </si>
  <si>
    <t>US-MS (Mississippi)</t>
  </si>
  <si>
    <t>US-MO (Missouri)</t>
  </si>
  <si>
    <t>US-MT (Montana)</t>
  </si>
  <si>
    <t>US-NE (Nebraska)</t>
  </si>
  <si>
    <t>US-NV (Nevada)</t>
  </si>
  <si>
    <t>US-NH (New Hampshire)</t>
  </si>
  <si>
    <t>US-NJ (New Jersey)</t>
  </si>
  <si>
    <t>US-NM (New Mexico)</t>
  </si>
  <si>
    <t>US-NY (New York)</t>
  </si>
  <si>
    <t>US-NC (North Carolina)</t>
  </si>
  <si>
    <t>US-ND (North Dakota)</t>
  </si>
  <si>
    <t>US-OH (Ohio)</t>
  </si>
  <si>
    <t>US-OK (Oklahoma)</t>
  </si>
  <si>
    <t>US-OR (Oregon)</t>
  </si>
  <si>
    <t>US-PA (Pennsylvania)</t>
  </si>
  <si>
    <t>US-RI (Rhode Island)</t>
  </si>
  <si>
    <t>US-SC (South Carolina)</t>
  </si>
  <si>
    <t>US-SD (South Dakota)</t>
  </si>
  <si>
    <t>US-TN (Tennessee)</t>
  </si>
  <si>
    <t>US-TX (Texas)</t>
  </si>
  <si>
    <t>US-UT (Utah)</t>
  </si>
  <si>
    <t>US-VT (Vermont)</t>
  </si>
  <si>
    <t>US-VA (Virginia)</t>
  </si>
  <si>
    <t>US-WA (Washington)</t>
  </si>
  <si>
    <t>US-WV (West Virginia)</t>
  </si>
  <si>
    <t>US-WI (Wisconsin)</t>
  </si>
  <si>
    <t>US-WY (Wyoming)</t>
  </si>
  <si>
    <t>Applicability</t>
  </si>
  <si>
    <t>Cell Legends</t>
  </si>
  <si>
    <t>Building Elements</t>
  </si>
  <si>
    <t>Are you including building elements other than substructure and shell (i.e. structure and enclosure) in your embodied carbon reporting?</t>
  </si>
  <si>
    <t>Life Cycle Modules Assumptions</t>
  </si>
  <si>
    <t>Methodology Included within the Software Tool</t>
  </si>
  <si>
    <t>Assumptions, Data Modifications, and Manual Calculations</t>
  </si>
  <si>
    <t>Secondary Material Quantity Source</t>
  </si>
  <si>
    <t>Embodied Carbon Reduction Strategies</t>
  </si>
  <si>
    <t xml:space="preserve">Provide any additional information on the project, embodied carbon inputs, or outputs here. </t>
  </si>
  <si>
    <t>■ Provide the total floor area and parkade areas of all the buildings included in this Design Report.</t>
  </si>
  <si>
    <t>Specify the life cycle stages that you are including in your reporting, using data from your software tool or using project-specific or regional data.</t>
  </si>
  <si>
    <t>Life Cycle Stages Scope</t>
  </si>
  <si>
    <t>Product (A1-A3)</t>
  </si>
  <si>
    <t>Construction Process - Transport (A4)</t>
  </si>
  <si>
    <t>Use (B1-B5)</t>
  </si>
  <si>
    <t>End-of-Life (C1-C4)</t>
  </si>
  <si>
    <t>Construction Process - Construction (A5)</t>
  </si>
  <si>
    <t>A4</t>
  </si>
  <si>
    <t>A5</t>
  </si>
  <si>
    <t>Addition (to an Existing Building)</t>
  </si>
  <si>
    <t>Name of the Rating System or Certification Pursued</t>
  </si>
  <si>
    <t>Green Building Rating System or Certification Pursued</t>
  </si>
  <si>
    <t>Common Space Allocation</t>
  </si>
  <si>
    <r>
      <rPr>
        <sz val="9"/>
        <color theme="1" tint="0.34998626667073579"/>
        <rFont val="Arial"/>
        <family val="2"/>
      </rPr>
      <t xml:space="preserve">(Interior Construction) </t>
    </r>
    <r>
      <rPr>
        <sz val="10"/>
        <color theme="1"/>
        <rFont val="Arial"/>
        <family val="2"/>
      </rPr>
      <t>Interior</t>
    </r>
  </si>
  <si>
    <r>
      <rPr>
        <sz val="9"/>
        <color theme="1" tint="0.34998626667073579"/>
        <rFont val="Arial"/>
        <family val="2"/>
      </rPr>
      <t xml:space="preserve">(Interior Finishes) </t>
    </r>
    <r>
      <rPr>
        <sz val="10"/>
        <color theme="1"/>
        <rFont val="Arial"/>
        <family val="2"/>
      </rPr>
      <t>Interior</t>
    </r>
  </si>
  <si>
    <r>
      <rPr>
        <sz val="9"/>
        <color theme="1" tint="0.34998626667073579"/>
        <rFont val="Arial"/>
        <family val="2"/>
      </rPr>
      <t xml:space="preserve">(Plumbing) </t>
    </r>
    <r>
      <rPr>
        <sz val="10"/>
        <color theme="1"/>
        <rFont val="Arial"/>
        <family val="2"/>
      </rPr>
      <t>Services</t>
    </r>
  </si>
  <si>
    <r>
      <rPr>
        <sz val="9"/>
        <color theme="1" tint="0.34998626667073579"/>
        <rFont val="Arial"/>
        <family val="2"/>
      </rPr>
      <t xml:space="preserve">(HVAC) </t>
    </r>
    <r>
      <rPr>
        <sz val="10"/>
        <color theme="1"/>
        <rFont val="Arial"/>
        <family val="2"/>
      </rPr>
      <t>Services</t>
    </r>
  </si>
  <si>
    <r>
      <rPr>
        <sz val="9"/>
        <color theme="1" tint="0.34998626667073579"/>
        <rFont val="Arial"/>
        <family val="2"/>
      </rPr>
      <t xml:space="preserve">(Electrical) </t>
    </r>
    <r>
      <rPr>
        <sz val="10"/>
        <color theme="1"/>
        <rFont val="Arial"/>
        <family val="2"/>
      </rPr>
      <t>Services</t>
    </r>
  </si>
  <si>
    <r>
      <rPr>
        <sz val="9"/>
        <color theme="1" tint="0.34998626667073579"/>
        <rFont val="Arial"/>
        <family val="2"/>
      </rPr>
      <t xml:space="preserve">(Other) </t>
    </r>
    <r>
      <rPr>
        <sz val="10"/>
        <color theme="1"/>
        <rFont val="Arial"/>
        <family val="2"/>
      </rPr>
      <t>Services</t>
    </r>
  </si>
  <si>
    <t>Specify</t>
  </si>
  <si>
    <r>
      <rPr>
        <sz val="9"/>
        <color theme="1" tint="0.34998626667073579"/>
        <rFont val="Arial"/>
        <family val="2"/>
      </rPr>
      <t xml:space="preserve">(Foundations, Subgrade enclosure, Slab-on-grade) </t>
    </r>
    <r>
      <rPr>
        <sz val="10"/>
        <color theme="1"/>
        <rFont val="Arial"/>
        <family val="2"/>
      </rPr>
      <t xml:space="preserve">Substructure </t>
    </r>
  </si>
  <si>
    <r>
      <rPr>
        <sz val="9"/>
        <color theme="1" tint="0.34998626667073579"/>
        <rFont val="Arial"/>
        <family val="2"/>
      </rPr>
      <t>(Superstructure, Below-grade interior structure, Envelope, Roof)</t>
    </r>
    <r>
      <rPr>
        <sz val="10"/>
        <color theme="1" tint="0.34998626667073579"/>
        <rFont val="Arial"/>
        <family val="2"/>
      </rPr>
      <t xml:space="preserve"> </t>
    </r>
    <r>
      <rPr>
        <sz val="10"/>
        <color theme="1"/>
        <rFont val="Arial"/>
        <family val="2"/>
      </rPr>
      <t>Shell</t>
    </r>
  </si>
  <si>
    <t>Provide any additional details regarding the optional elements and sub-elements that are included in the reporting and compliance.</t>
  </si>
  <si>
    <t>Required</t>
  </si>
  <si>
    <t>Required Field</t>
  </si>
  <si>
    <t>Required Field with Dropdown Options</t>
  </si>
  <si>
    <t>Required Elements</t>
  </si>
  <si>
    <t>Required scope</t>
  </si>
  <si>
    <t>Required+Partial optional</t>
  </si>
  <si>
    <t>Required+All optional</t>
  </si>
  <si>
    <t>Proportional to GFA</t>
  </si>
  <si>
    <t>Proportional to Number of Units</t>
  </si>
  <si>
    <t>Proportional to Number of Parking Stalls</t>
  </si>
  <si>
    <t>■ List the required sub-elements excluded from the reporting and a brief description of the reason. 
■ List the optional sub-elements included in the reporting of required elements.</t>
  </si>
  <si>
    <t xml:space="preserve">■ Embodied Carbon Pathfinder (Pathfinder) is only acceptable at the Rezoning Permit stage. 
■ Pathfinder provides a high-level, order-of-magnitude estimate, based on modelled scenarios for select building archetypes, and is not specific to a project’s geometry or material quantities. 
■ Project teams are encouraged to model the embodied carbon of their specific project early in the design process to help inform design and material selection. </t>
  </si>
  <si>
    <t>Override the formula in the "Compliance" column below, to change the default answer from "Yes" to "No"  for the optional elements that are not included in the compliance assessment.</t>
  </si>
  <si>
    <t>List the original and substituted materials or components.</t>
  </si>
  <si>
    <t>Describe any strategies used in the proposed design to reduce embodied carbon emissions.</t>
  </si>
  <si>
    <t>Transport - Construction Process (A4)</t>
  </si>
  <si>
    <t>Required+Optional Elements (Partial)</t>
  </si>
  <si>
    <t>Required+Optional Elements (All)</t>
  </si>
  <si>
    <t>Are the reported optional elements included in the compliance assessment?</t>
  </si>
  <si>
    <t>Did you substitute any major material or component in the building design with a proxy, due to the lack of data availability in the software tool?</t>
  </si>
  <si>
    <t>Did you modify any of default assumptions or data sources used in the software tool inside the tool or manually outside it?</t>
  </si>
  <si>
    <t>■ If the baseline compliance path is used, answer the following questions for the proposed design and baseline.</t>
  </si>
  <si>
    <t>Total (A-C)</t>
  </si>
  <si>
    <t>Beyond the Building Life (D1-D4)</t>
  </si>
  <si>
    <r>
      <t xml:space="preserve">Total Carbon Storage </t>
    </r>
    <r>
      <rPr>
        <sz val="10"/>
        <color theme="0"/>
        <rFont val="Arial"/>
        <family val="2"/>
      </rPr>
      <t>(kg CO</t>
    </r>
    <r>
      <rPr>
        <vertAlign val="subscript"/>
        <sz val="10"/>
        <color theme="0"/>
        <rFont val="Arial"/>
        <family val="2"/>
      </rPr>
      <t>2</t>
    </r>
    <r>
      <rPr>
        <sz val="10"/>
        <color theme="0"/>
        <rFont val="Arial"/>
        <family val="2"/>
      </rPr>
      <t>e)</t>
    </r>
  </si>
  <si>
    <r>
      <t>Carbon Storage Intensity (without Parkade)</t>
    </r>
    <r>
      <rPr>
        <sz val="10"/>
        <color theme="0"/>
        <rFont val="Arial"/>
        <family val="2"/>
      </rPr>
      <t xml:space="preserve"> (kg CO</t>
    </r>
    <r>
      <rPr>
        <vertAlign val="subscript"/>
        <sz val="10"/>
        <color theme="0"/>
        <rFont val="Arial"/>
        <family val="2"/>
      </rPr>
      <t>2</t>
    </r>
    <r>
      <rPr>
        <sz val="10"/>
        <color theme="0"/>
        <rFont val="Arial"/>
        <family val="2"/>
      </rPr>
      <t>e/m</t>
    </r>
    <r>
      <rPr>
        <vertAlign val="superscript"/>
        <sz val="10"/>
        <color theme="0"/>
        <rFont val="Arial"/>
        <family val="2"/>
      </rPr>
      <t>2</t>
    </r>
    <r>
      <rPr>
        <sz val="10"/>
        <color theme="0"/>
        <rFont val="Arial"/>
        <family val="2"/>
      </rPr>
      <t>)</t>
    </r>
  </si>
  <si>
    <r>
      <t>Carbon Storage Intensity (with Parkade)</t>
    </r>
    <r>
      <rPr>
        <sz val="10"/>
        <color theme="0"/>
        <rFont val="Arial"/>
        <family val="2"/>
      </rPr>
      <t xml:space="preserve"> (kg CO</t>
    </r>
    <r>
      <rPr>
        <vertAlign val="subscript"/>
        <sz val="10"/>
        <color theme="0"/>
        <rFont val="Arial"/>
        <family val="2"/>
      </rPr>
      <t>2</t>
    </r>
    <r>
      <rPr>
        <sz val="10"/>
        <color theme="0"/>
        <rFont val="Arial"/>
        <family val="2"/>
      </rPr>
      <t>e/m</t>
    </r>
    <r>
      <rPr>
        <vertAlign val="superscript"/>
        <sz val="10"/>
        <color theme="0"/>
        <rFont val="Arial"/>
        <family val="2"/>
      </rPr>
      <t>2</t>
    </r>
    <r>
      <rPr>
        <sz val="10"/>
        <color theme="0"/>
        <rFont val="Arial"/>
        <family val="2"/>
      </rPr>
      <t>)</t>
    </r>
  </si>
  <si>
    <r>
      <t xml:space="preserve">Carbon Storage Intensity (without Parkade) </t>
    </r>
    <r>
      <rPr>
        <sz val="10"/>
        <color theme="0"/>
        <rFont val="Arial"/>
        <family val="2"/>
      </rPr>
      <t>(kg CO</t>
    </r>
    <r>
      <rPr>
        <vertAlign val="subscript"/>
        <sz val="10"/>
        <color theme="0"/>
        <rFont val="Arial"/>
        <family val="2"/>
      </rPr>
      <t>2</t>
    </r>
    <r>
      <rPr>
        <sz val="10"/>
        <color theme="0"/>
        <rFont val="Arial"/>
        <family val="2"/>
      </rPr>
      <t>e/m</t>
    </r>
    <r>
      <rPr>
        <vertAlign val="superscript"/>
        <sz val="10"/>
        <color theme="0"/>
        <rFont val="Arial"/>
        <family val="2"/>
      </rPr>
      <t>2</t>
    </r>
    <r>
      <rPr>
        <sz val="10"/>
        <color theme="0"/>
        <rFont val="Arial"/>
        <family val="2"/>
      </rPr>
      <t>)</t>
    </r>
  </si>
  <si>
    <t>Are any required sub-elements excluded from the reporting or are any optional 
sub-elements within mandatory elements included in the reporting?</t>
  </si>
  <si>
    <t>Construction - Construction Process (A5)</t>
  </si>
  <si>
    <t>1. Instructions</t>
  </si>
  <si>
    <t>Carbon Storage (Optional)</t>
  </si>
  <si>
    <t>General Instructions</t>
  </si>
  <si>
    <t>Primary Building Use</t>
  </si>
  <si>
    <t>Secondary Building Use</t>
  </si>
  <si>
    <r>
      <t>Primary Use Gross Floor Area (m</t>
    </r>
    <r>
      <rPr>
        <vertAlign val="superscript"/>
        <sz val="10"/>
        <color theme="1"/>
        <rFont val="Arial"/>
        <family val="2"/>
      </rPr>
      <t>2</t>
    </r>
    <r>
      <rPr>
        <sz val="10"/>
        <color theme="1"/>
        <rFont val="Arial"/>
        <family val="2"/>
      </rPr>
      <t>)</t>
    </r>
  </si>
  <si>
    <r>
      <t>Secondary Use Gross Floor Area (m</t>
    </r>
    <r>
      <rPr>
        <vertAlign val="superscript"/>
        <sz val="10"/>
        <color theme="1"/>
        <rFont val="Arial"/>
        <family val="2"/>
      </rPr>
      <t>2</t>
    </r>
    <r>
      <rPr>
        <sz val="10"/>
        <color theme="1"/>
        <rFont val="Arial"/>
        <family val="2"/>
      </rPr>
      <t>)</t>
    </r>
  </si>
  <si>
    <t>A-1 (Assembly - Performing Art Occupancies)</t>
  </si>
  <si>
    <t>A-2 (Assembly - Other Occupancies)</t>
  </si>
  <si>
    <t>A-3 (Assembly - Arena Type Occupancies)</t>
  </si>
  <si>
    <t>A-4 (Assembly - Open Air Gathering Occupancies)</t>
  </si>
  <si>
    <t>B-1 (Detention Occupancies)</t>
  </si>
  <si>
    <t>B-2 (Treatment Occupancies)</t>
  </si>
  <si>
    <t>B-3 (Care Occupancies)</t>
  </si>
  <si>
    <t>C (Residential Occupancies)</t>
  </si>
  <si>
    <t>D (Business &amp; Personal Services Occupancies)</t>
  </si>
  <si>
    <t>E (Mercantile Occupancies)</t>
  </si>
  <si>
    <t>F-1 (High-Hazard Industrial Occupancies)</t>
  </si>
  <si>
    <t>F-2 (Medium-Hazard Industrial Occupancies)</t>
  </si>
  <si>
    <t>F-3 (Low-Hazard Industrial Occupancies)</t>
  </si>
  <si>
    <t>3. EC Modelling Info</t>
  </si>
  <si>
    <t>Information on the embodied carbon model, including the tool used and the scope</t>
  </si>
  <si>
    <t>Embodied Carbon Modelling Information</t>
  </si>
  <si>
    <t>■ Use the form below to provide the general information regarding the proposed project and building(s) included in this Design Report.
■ See the definition of terms and description of the structural systems in "Definitions" tab.</t>
  </si>
  <si>
    <t>■ Unless other guidance is provided below, specify the following information for the largest building included in this Design Report (by gross floor area).</t>
  </si>
  <si>
    <t>Rezoning Permit Version</t>
  </si>
  <si>
    <t>Prior to 2018</t>
  </si>
  <si>
    <t>GBPR 2018 (May 1, 2018 to May 17, 2022)</t>
  </si>
  <si>
    <t>GBPR 2022 (May 18, 2022 to July 24, 2023)</t>
  </si>
  <si>
    <t>GBPR 2023 (July 25, 2023 to Current)</t>
  </si>
  <si>
    <t>N/A</t>
  </si>
  <si>
    <t>No. of Parking Stalls</t>
  </si>
  <si>
    <t>LCA Modeller Email</t>
  </si>
  <si>
    <t>Project data</t>
  </si>
  <si>
    <t>BP Date</t>
  </si>
  <si>
    <t>GFA (m2)</t>
  </si>
  <si>
    <t>Version Tracker</t>
  </si>
  <si>
    <t>Version</t>
  </si>
  <si>
    <t>Date</t>
  </si>
  <si>
    <t>Description of change</t>
  </si>
  <si>
    <t xml:space="preserve">First published. </t>
  </si>
  <si>
    <t xml:space="preserve">Describes changes between versions of the Embodied Carbon Design Report </t>
  </si>
  <si>
    <t>4. Results &amp; Compliance Cells</t>
  </si>
  <si>
    <t xml:space="preserve">Proposed Total Embodied Carbon </t>
  </si>
  <si>
    <t xml:space="preserve">Compliance Path </t>
  </si>
  <si>
    <t>Cell</t>
  </si>
  <si>
    <t>Miminum Reduction Required</t>
  </si>
  <si>
    <t>Min. Reduction Required</t>
  </si>
  <si>
    <t xml:space="preserve">Complies? </t>
  </si>
  <si>
    <t>Input Cell Data</t>
  </si>
  <si>
    <t>Output Cell data</t>
  </si>
  <si>
    <t>Message</t>
  </si>
  <si>
    <t>Combined Error Messages</t>
  </si>
  <si>
    <t>A-C Proposed</t>
  </si>
  <si>
    <t>A-C Baseline</t>
  </si>
  <si>
    <t xml:space="preserve">■ Updates are tracked between versions. </t>
  </si>
  <si>
    <t>Updated compliance to apply 10% reduction for all buildings.</t>
  </si>
  <si>
    <t>Effective date of VBBL 2025 changed from Jan 1, 2025, to Mid 2025. Exact date to be confirmed.</t>
  </si>
  <si>
    <t>Partial</t>
  </si>
  <si>
    <t>corrected the formula to show as "" instead of 0, if the values for baseline are missing</t>
  </si>
  <si>
    <t>Version 2.0</t>
  </si>
  <si>
    <t>2025-0x-xx</t>
  </si>
  <si>
    <t>Updates to VBBL 2025</t>
  </si>
  <si>
    <t>Industry Leadership Credits</t>
  </si>
  <si>
    <t>Interior Finishes</t>
  </si>
  <si>
    <t>Conveying</t>
  </si>
  <si>
    <t>Plumbing</t>
  </si>
  <si>
    <t>Furnishings</t>
  </si>
  <si>
    <t>Site Preparation (Earthwork)</t>
  </si>
  <si>
    <t xml:space="preserve">Reporting? </t>
  </si>
  <si>
    <t>HVAC, excluding refrigerants</t>
  </si>
  <si>
    <t>As-built concrete volumes</t>
  </si>
  <si>
    <t>Preconstruction Demolition (Module A5.1)</t>
  </si>
  <si>
    <t>Construction Activities (Module A5.2)</t>
  </si>
  <si>
    <t>Construction Waste (Module A5.3)</t>
  </si>
  <si>
    <t>Material Quantity</t>
  </si>
  <si>
    <t>Functional Unit</t>
  </si>
  <si>
    <t>m²</t>
  </si>
  <si>
    <t>a.iv  Report Project-specific Construction Process Data</t>
  </si>
  <si>
    <r>
      <rPr>
        <sz val="9"/>
        <color theme="1" tint="0.34998626667073579"/>
        <rFont val="Arial"/>
        <family val="2"/>
      </rPr>
      <t xml:space="preserve">(Conveying) </t>
    </r>
    <r>
      <rPr>
        <sz val="10"/>
        <color theme="1"/>
        <rFont val="Arial"/>
        <family val="2"/>
      </rPr>
      <t>Services</t>
    </r>
  </si>
  <si>
    <r>
      <t xml:space="preserve">Reporting
</t>
    </r>
    <r>
      <rPr>
        <b/>
        <sz val="9"/>
        <color theme="1" tint="0.34998626667073579"/>
        <rFont val="Arial"/>
        <family val="2"/>
      </rPr>
      <t>ILCs Available</t>
    </r>
  </si>
  <si>
    <t>Landscaping</t>
  </si>
  <si>
    <t>Gross Floor Area Calculation Method</t>
  </si>
  <si>
    <t>Embodied Carbon Calculation Method</t>
  </si>
  <si>
    <t>Short Cycle Biogenic Carbon</t>
  </si>
  <si>
    <t xml:space="preserve">Strength (MPa) </t>
  </si>
  <si>
    <t>Air Entrain</t>
  </si>
  <si>
    <t>Air entrained?</t>
  </si>
  <si>
    <t>For Vlookup</t>
  </si>
  <si>
    <t>(Optional)</t>
  </si>
  <si>
    <t>As-Built Reporting</t>
  </si>
  <si>
    <t>m2•RSI</t>
  </si>
  <si>
    <t>BEAM 
kgCO2e/Functional Unit</t>
  </si>
  <si>
    <t>CoV kgCO2e/Functional Unit</t>
  </si>
  <si>
    <t>BEAM ID</t>
  </si>
  <si>
    <t>BAM00X</t>
  </si>
  <si>
    <t>BAM01X</t>
  </si>
  <si>
    <t>Cedar Shingles &amp; Shakes / Red Cedar Lumber Assn / 3/4" max thickness [Industry Avg | CA]</t>
  </si>
  <si>
    <t>f1864e</t>
  </si>
  <si>
    <t>fc7d3a</t>
  </si>
  <si>
    <t>1ca576</t>
  </si>
  <si>
    <t>STRABX</t>
  </si>
  <si>
    <t>ae7e1c</t>
  </si>
  <si>
    <t>LAM00X</t>
  </si>
  <si>
    <t>m2 at 3.5"</t>
  </si>
  <si>
    <t>EWF000</t>
  </si>
  <si>
    <t>LP000X</t>
  </si>
  <si>
    <t>FIB00X</t>
  </si>
  <si>
    <t xml:space="preserve">Glued Laminated Timber (Glulam) / AWC &amp; CWC [Industry Avg | US &amp; CA] </t>
  </si>
  <si>
    <t>f92a05</t>
  </si>
  <si>
    <t>Hardwood flooring / NWFA and Decorative Hardwoods Association / Solid Wood Flooring /  3/4"  [Industry Avg | US &amp; CA]</t>
  </si>
  <si>
    <t>WWF000</t>
  </si>
  <si>
    <t>HTW00X</t>
  </si>
  <si>
    <t>Heat Treated Wood Cladding [BEAM Avg]</t>
  </si>
  <si>
    <t>Laminated strand lumber (LSL) / AWC &amp; CWC [Industry Avg | US &amp; CA]</t>
  </si>
  <si>
    <t>4k2v0s</t>
  </si>
  <si>
    <t>ebd574</t>
  </si>
  <si>
    <t>Laminated veneer lumber (LVL) / AWC &amp; CWC [Industry Avg | US &amp; CA]</t>
  </si>
  <si>
    <t>LIN00X</t>
  </si>
  <si>
    <t>p8c2la</t>
  </si>
  <si>
    <t>OSB sheathing / 7/8" / AWC &amp; CWC [Industry Avg | US &amp; CA]</t>
  </si>
  <si>
    <t>d14a8f</t>
  </si>
  <si>
    <t>Plywood / 3/4" / AWC &amp; CWC [Industry Avg | US &amp; CA]</t>
  </si>
  <si>
    <t>61a79e</t>
  </si>
  <si>
    <t>INS021</t>
  </si>
  <si>
    <t>b4t02m</t>
  </si>
  <si>
    <t>Wood / Redwood / Lumber by volume / AWC &amp; CWC [Industry Avg | US &amp; CA]</t>
  </si>
  <si>
    <t>10d47f</t>
  </si>
  <si>
    <t>m</t>
  </si>
  <si>
    <t xml:space="preserve">Wood / SPF / Lumber by volume / AWC &amp; CWC [Industry Avg | US &amp; CA] </t>
  </si>
  <si>
    <t>9219e5</t>
  </si>
  <si>
    <t>g692me</t>
  </si>
  <si>
    <t>42f8f1</t>
  </si>
  <si>
    <t>Wood roof truss / Gable Roof, Double Howe, 2x6 Chords, 2x4 Webs, 4:12 Pitch / QWEB [Industry Avg | CA]</t>
  </si>
  <si>
    <t>91617a</t>
  </si>
  <si>
    <t>HEMP0X</t>
  </si>
  <si>
    <t>HEMPCX</t>
  </si>
  <si>
    <t xml:space="preserve">Hempcrete / R 2.4-inch [BEAM Avg] </t>
  </si>
  <si>
    <t xml:space="preserve">Hemp Fiber Batt / R 3.6-inch [BEAM Avg] </t>
  </si>
  <si>
    <t>Straw Bale / Wheat &amp; rye straw / FASBA (Germany) / R 2.8-inch [Industry Avg | EU]</t>
  </si>
  <si>
    <t>Straw Bale / Wheat &amp; barley straw / SNaB (UK) / R 2.8/inch [Industry Avg | EU]</t>
  </si>
  <si>
    <t>Wool batt / R 3.8 /inch [BEAM Avg ]</t>
  </si>
  <si>
    <t xml:space="preserve">Salvaged Plywood </t>
  </si>
  <si>
    <t xml:space="preserve">Salvaged Wood roof truss / Gable Roof, Double Howe, 2x6 Chords, 2x4 Webs, 4:12 Pitch </t>
  </si>
  <si>
    <t xml:space="preserve">Salvaged Wood / SPF Lumber </t>
  </si>
  <si>
    <t xml:space="preserve">Salvaged OSB sheathing </t>
  </si>
  <si>
    <t xml:space="preserve">Salvaged Laminated veneer lumber (LVL) </t>
  </si>
  <si>
    <t xml:space="preserve">Salvaged Laminated strand lumber (LSL) </t>
  </si>
  <si>
    <t xml:space="preserve">BEAM Material </t>
  </si>
  <si>
    <t>CoV Display Name</t>
  </si>
  <si>
    <t>Bamboo Flooring [BEAM Avg]</t>
  </si>
  <si>
    <t>Cellulose / dense pack / CIMA / R 3.7-inch / [Industry Avg | US &amp; CA]</t>
  </si>
  <si>
    <t xml:space="preserve">Cellulose / loose fill / CIMA / R 3.7-inch / [Industry Avg | US &amp; CA] </t>
  </si>
  <si>
    <t xml:space="preserve">Straw Board / R 2.0-inch [BEAM Avg] </t>
  </si>
  <si>
    <t>Cork flooring / European Resilient Flooring Manufacturers' Institute [Industry Avg | EU]</t>
  </si>
  <si>
    <t>Cross Laminated Timber (CLT) [BEAM Avg | US &amp; CA]</t>
  </si>
  <si>
    <t>Engineered Wood Flooring / NWFA and Decorative Hardwoods Association / 3/8" to 3/4"  [Industry Avg | US &amp; CA]</t>
  </si>
  <si>
    <t>Engineered Wood Siding [BEAM Avg | US &amp; CA]</t>
  </si>
  <si>
    <t>Fiber Cement siding [BEAM Avg]</t>
  </si>
  <si>
    <t>Linoleum flooring / 4.0 mm [BEAM Avg]</t>
  </si>
  <si>
    <t>Linoleum flooring / 2.5 mm [BEAM Avg]</t>
  </si>
  <si>
    <t>Wood fiber batt / [BEAM Avg | EU]</t>
  </si>
  <si>
    <t xml:space="preserve">Bamboo Cladding [BEAM Avg] </t>
  </si>
  <si>
    <t>m2*RSI</t>
  </si>
  <si>
    <t>in</t>
  </si>
  <si>
    <t>5.679 R-val / RSI</t>
  </si>
  <si>
    <t xml:space="preserve">1 in </t>
  </si>
  <si>
    <t>0.0254 m</t>
  </si>
  <si>
    <t>Unit Conversion from (kgCO2e/m2/RSI) to (kgCO2e/m3)</t>
  </si>
  <si>
    <t>[mat. R-val]</t>
  </si>
  <si>
    <t>kgCO2e</t>
  </si>
  <si>
    <t>=</t>
  </si>
  <si>
    <t>Wood fiber batt / R 3.9 per inch</t>
  </si>
  <si>
    <t>Cellulose / dense pack / R 3.7 per inch</t>
  </si>
  <si>
    <t>Cellulose / loose fill / R 3.7 per inch</t>
  </si>
  <si>
    <t>Straw Board Insulation / R 2.0 per inch</t>
  </si>
  <si>
    <t>Hemp Fiber Batt / R 3.6 per inch</t>
  </si>
  <si>
    <t>Hempcrete / R 2.4 per inch</t>
  </si>
  <si>
    <t xml:space="preserve">Straw Bale / Wheat &amp; rye straw / R 2.8 per inch </t>
  </si>
  <si>
    <t>Straw Bale / Wheat &amp; barley straw /  R 2.8 per inch</t>
  </si>
  <si>
    <t xml:space="preserve">Wood fiber board / R 2.7 per inch </t>
  </si>
  <si>
    <t>Salvaged Materials</t>
  </si>
  <si>
    <r>
      <t>m</t>
    </r>
    <r>
      <rPr>
        <vertAlign val="superscript"/>
        <sz val="11"/>
        <color theme="1"/>
        <rFont val="Calibri"/>
        <family val="2"/>
        <scheme val="minor"/>
      </rPr>
      <t>3</t>
    </r>
  </si>
  <si>
    <t xml:space="preserve">Salvaged Glued Laminated Timber (Glulam) </t>
  </si>
  <si>
    <t xml:space="preserve">Wool batt / R 3.8 per inch </t>
  </si>
  <si>
    <t>BEAM Functional Unit</t>
  </si>
  <si>
    <t>CoV Functional Unit</t>
  </si>
  <si>
    <t>2480d6</t>
  </si>
  <si>
    <t>Wood floor truss / Common (Warren, 45 deg) web pattern / Top chord bearing, variable depth / QWEB [Industry Avg | CA]</t>
  </si>
  <si>
    <t xml:space="preserve">Salvaged Wood floor truss / Common (Warren, 45 deg) web pattern / Top chord bearing, variable depth </t>
  </si>
  <si>
    <t>s0glec</t>
  </si>
  <si>
    <t>d0rk2l</t>
  </si>
  <si>
    <t>BAM000</t>
  </si>
  <si>
    <t>BAM007</t>
  </si>
  <si>
    <t>BAM003</t>
  </si>
  <si>
    <t>BAM002</t>
  </si>
  <si>
    <t>5a9ecd</t>
  </si>
  <si>
    <t>967ad6</t>
  </si>
  <si>
    <t>Cel000</t>
  </si>
  <si>
    <t>Cel001</t>
  </si>
  <si>
    <t>Cel002</t>
  </si>
  <si>
    <t>Cel003</t>
  </si>
  <si>
    <t>cel004</t>
  </si>
  <si>
    <t>5231c8</t>
  </si>
  <si>
    <t>95a692</t>
  </si>
  <si>
    <t>f8cf09</t>
  </si>
  <si>
    <t>A23459</t>
  </si>
  <si>
    <t>A23458</t>
  </si>
  <si>
    <t>A23457</t>
  </si>
  <si>
    <t>A23456</t>
  </si>
  <si>
    <t>INS001</t>
  </si>
  <si>
    <t>INS002</t>
  </si>
  <si>
    <t>CBI000</t>
  </si>
  <si>
    <t>a13a3e</t>
  </si>
  <si>
    <t>LAM007</t>
  </si>
  <si>
    <t>LAM008</t>
  </si>
  <si>
    <t>LAM010</t>
  </si>
  <si>
    <t>LAM011</t>
  </si>
  <si>
    <t>134c8d</t>
  </si>
  <si>
    <t>LAM009</t>
  </si>
  <si>
    <t>c930d2</t>
  </si>
  <si>
    <t>INT000</t>
  </si>
  <si>
    <t>INT005</t>
  </si>
  <si>
    <t>sl3g0r</t>
  </si>
  <si>
    <t>EWF003</t>
  </si>
  <si>
    <t>EWF001</t>
  </si>
  <si>
    <t>LP0003</t>
  </si>
  <si>
    <t>LP0002</t>
  </si>
  <si>
    <t>LP0004</t>
  </si>
  <si>
    <t>LP0001</t>
  </si>
  <si>
    <t>LP0000</t>
  </si>
  <si>
    <t>8bcce7</t>
  </si>
  <si>
    <t>b72f13</t>
  </si>
  <si>
    <t>FIB001</t>
  </si>
  <si>
    <t>FIB000</t>
  </si>
  <si>
    <t>FIB002</t>
  </si>
  <si>
    <t>FIB003</t>
  </si>
  <si>
    <t>FIB005</t>
  </si>
  <si>
    <t>FIB004</t>
  </si>
  <si>
    <t>8ad79d</t>
  </si>
  <si>
    <t>ecd60d</t>
  </si>
  <si>
    <t>c8fcb5</t>
  </si>
  <si>
    <t>6d2eca</t>
  </si>
  <si>
    <t>707a65</t>
  </si>
  <si>
    <t>5712f2</t>
  </si>
  <si>
    <t>LAM006</t>
  </si>
  <si>
    <t>LAM003</t>
  </si>
  <si>
    <t>da1134</t>
  </si>
  <si>
    <t>LAM002</t>
  </si>
  <si>
    <t>LAM004</t>
  </si>
  <si>
    <t>LAM005</t>
  </si>
  <si>
    <t>INS010</t>
  </si>
  <si>
    <t>BAM005</t>
  </si>
  <si>
    <t>BAM004</t>
  </si>
  <si>
    <t>BAM006</t>
  </si>
  <si>
    <t>ac0e7f</t>
  </si>
  <si>
    <t>WWF001</t>
  </si>
  <si>
    <t>HTW000</t>
  </si>
  <si>
    <t>HTW001</t>
  </si>
  <si>
    <t>HTW002</t>
  </si>
  <si>
    <t>HTW003</t>
  </si>
  <si>
    <t>INS011</t>
  </si>
  <si>
    <t>INS012</t>
  </si>
  <si>
    <t>2fe063</t>
  </si>
  <si>
    <t>7d79df</t>
  </si>
  <si>
    <t>5731ae</t>
  </si>
  <si>
    <t>INS016</t>
  </si>
  <si>
    <t>INS015</t>
  </si>
  <si>
    <t>INS013</t>
  </si>
  <si>
    <t>INS014</t>
  </si>
  <si>
    <t>HWF000</t>
  </si>
  <si>
    <t>2gy8rd</t>
  </si>
  <si>
    <t>t5ydsd</t>
  </si>
  <si>
    <t>3lkfm3</t>
  </si>
  <si>
    <t>dsa30i</t>
  </si>
  <si>
    <t>BAM001</t>
  </si>
  <si>
    <t>BAM008</t>
  </si>
  <si>
    <t>LAM001</t>
  </si>
  <si>
    <t>LCP003</t>
  </si>
  <si>
    <t>LCP002</t>
  </si>
  <si>
    <t>LCP001</t>
  </si>
  <si>
    <t>e075b4</t>
  </si>
  <si>
    <t>LIN005</t>
  </si>
  <si>
    <t>LIN000</t>
  </si>
  <si>
    <t>LIN003</t>
  </si>
  <si>
    <t>LIN006</t>
  </si>
  <si>
    <t>LIN002</t>
  </si>
  <si>
    <t>LIN001</t>
  </si>
  <si>
    <t>LIN004</t>
  </si>
  <si>
    <t>LAM000</t>
  </si>
  <si>
    <t>LAM012</t>
  </si>
  <si>
    <t>INT007</t>
  </si>
  <si>
    <t>2fg4um</t>
  </si>
  <si>
    <t>g83od3</t>
  </si>
  <si>
    <t>7vi3jf</t>
  </si>
  <si>
    <t>OSB000</t>
  </si>
  <si>
    <t>OSB004</t>
  </si>
  <si>
    <t>OSB005</t>
  </si>
  <si>
    <t>OSB003</t>
  </si>
  <si>
    <t>OSB002</t>
  </si>
  <si>
    <t>OSB006</t>
  </si>
  <si>
    <t>OSB007</t>
  </si>
  <si>
    <t>PLY005</t>
  </si>
  <si>
    <t>PLY003</t>
  </si>
  <si>
    <t>PLY004</t>
  </si>
  <si>
    <t>WRT000</t>
  </si>
  <si>
    <t>PLY000</t>
  </si>
  <si>
    <t>INS000</t>
  </si>
  <si>
    <t>WAL000</t>
  </si>
  <si>
    <t>INT009</t>
  </si>
  <si>
    <t>INS003</t>
  </si>
  <si>
    <t>WAL001</t>
  </si>
  <si>
    <t>g93fwm</t>
  </si>
  <si>
    <t>LAM013</t>
  </si>
  <si>
    <t>5644c4</t>
  </si>
  <si>
    <t>6f579d</t>
  </si>
  <si>
    <t>32a4e7</t>
  </si>
  <si>
    <t>952dee</t>
  </si>
  <si>
    <t>SPF002</t>
  </si>
  <si>
    <t>SPF001</t>
  </si>
  <si>
    <t>SPF000</t>
  </si>
  <si>
    <t>cac908</t>
  </si>
  <si>
    <t>6877c8</t>
  </si>
  <si>
    <t>WWC000</t>
  </si>
  <si>
    <t>WWC001</t>
  </si>
  <si>
    <t>ins035</t>
  </si>
  <si>
    <t>be052f</t>
  </si>
  <si>
    <t>ins034</t>
  </si>
  <si>
    <t>ins030</t>
  </si>
  <si>
    <t>ins029</t>
  </si>
  <si>
    <t>ins031</t>
  </si>
  <si>
    <t>ins032</t>
  </si>
  <si>
    <t>ins033</t>
  </si>
  <si>
    <t>ins026</t>
  </si>
  <si>
    <t>ins027</t>
  </si>
  <si>
    <t>ins028</t>
  </si>
  <si>
    <t>WIJ005</t>
  </si>
  <si>
    <t>WIJ004</t>
  </si>
  <si>
    <t>WIJ003</t>
  </si>
  <si>
    <t>WIJ002</t>
  </si>
  <si>
    <t>WIJ001</t>
  </si>
  <si>
    <t>WIJ000</t>
  </si>
  <si>
    <t>INT008</t>
  </si>
  <si>
    <t>TRU001</t>
  </si>
  <si>
    <t>TRU002</t>
  </si>
  <si>
    <t>TRU000</t>
  </si>
  <si>
    <t>be49e2</t>
  </si>
  <si>
    <t>INS025</t>
  </si>
  <si>
    <t>INS022</t>
  </si>
  <si>
    <t>INS024</t>
  </si>
  <si>
    <t>INS023</t>
  </si>
  <si>
    <t>840925</t>
  </si>
  <si>
    <t xml:space="preserve">Bamboo Cladding / Dasso / dassoCTECH outdoor oiled Cladding / Shiplap, 5/8" (18 mm) </t>
  </si>
  <si>
    <t xml:space="preserve">Bamboo Cladding / Dasso / dassoXTR Bamboo RainClad® Siding / Shiplap, 3/4'' (19 mm) </t>
  </si>
  <si>
    <t xml:space="preserve">Bamboo Cladding / Lamboo / Rainscreen™ Facing System / 11/16" (17 mm) </t>
  </si>
  <si>
    <t>Bamboo Cladding / MOSO / X-treme, all profiles / Heat treated / 5/8" (18 mm)</t>
  </si>
  <si>
    <t xml:space="preserve">Bamboo plywood / Smith &amp; Fong / Plyboo / 3/4" (uncarved) </t>
  </si>
  <si>
    <t xml:space="preserve">Bamboo plywood / Smith &amp; Fong / Plyboo / 1/2" (uncarved) </t>
  </si>
  <si>
    <t>Carpet / Interface / CQUEST BioX / 1.5 mm Modular tile carpet</t>
  </si>
  <si>
    <t>Cellulose / batt / CMS / EcoCell / R 3.6-inch</t>
  </si>
  <si>
    <t>Cellulose / batt / Ekovilla / Ekovilla Slab / R3.7-inch [EU]</t>
  </si>
  <si>
    <t xml:space="preserve">Cellulose / dense pack / Advanced Fiber Technology / AFT Carbon Smart / 56 kg/m3 / R3.8-inch </t>
  </si>
  <si>
    <t xml:space="preserve">Cellulose / dense pack / Greenfiber / Sanctuary / Avg of all facilties / 56.1 kg/m3 / R3.8-inch </t>
  </si>
  <si>
    <t>Cellulose / loose fill / Advanced Fiber Technology / AFT Carbon Smart / 25.2 kg/m3 / R3.8-inch</t>
  </si>
  <si>
    <t xml:space="preserve">Cellulose / loose fill / Greenfiber / Sanctuary / Avg of all facilties / 17.1 kg/m3 / R3.8-inch </t>
  </si>
  <si>
    <t>Cellulose / spray applied / International Cellulose Corp. / K-13, ThermoCon / R 3.75-inch</t>
  </si>
  <si>
    <t>Earthen Floor / Cast-in-place / Clay, sand, and straw / 4" (100 mm) [US]</t>
  </si>
  <si>
    <t>Cob wall / Site mixed / 18" (457 mm) avg. thickness [US]</t>
  </si>
  <si>
    <t>Composite sheathing panel / Continuus Materials / Everboard / Paper facing / 1/2-inch</t>
  </si>
  <si>
    <t>Composite sheathing panel / Continuus Materials / Everboard / Fiberglass facing / 1/2-inch</t>
  </si>
  <si>
    <t>Composite sheathing panel / Honext / Fire resistant panel / 12 mm [EU]</t>
  </si>
  <si>
    <t>Composite sheathing panel / James Hardie Europe / Fermacell / 12.5mm [EU]</t>
  </si>
  <si>
    <t>Compressed straw board / Ekopanely / Ekopanel E60-1200 / 60 mm / R1.45-inch [EU]</t>
  </si>
  <si>
    <t>Compressed straw board/ Ekopanely / Ekopanel E40-800 / 40 mm / R1.45-inch [EU]</t>
  </si>
  <si>
    <t>Cork board insulation / Amorim  / Expanded Insulation Corkboard (ICB) / R3.6-inch, 115 kg/m3 [EU]</t>
  </si>
  <si>
    <t>Cross Laminated Timber (CLT) / Element5 / Crosslam CLT / 3-1/2"</t>
  </si>
  <si>
    <t>Cross Laminated Timber (CLT) / Kalesnikoff / 3-1/2"</t>
  </si>
  <si>
    <t>Cross Laminated Timber (CLT) / Nordic  / Nordic Lam / 3-1/2"</t>
  </si>
  <si>
    <t>Cross Laminated Timber (CLT) / Nordic  / X-Lam / 3-1/2"</t>
  </si>
  <si>
    <t>Cross Laminated Timber (CLT) / Structurlam / CrossLam / 3-1/2"</t>
  </si>
  <si>
    <t>Cross Laminated Timber (CLT) / Vaagen / Crosslam CLT / 3-1/2"</t>
  </si>
  <si>
    <t>Dowel Laminated Timber / StructureCraft / DowelLam / 3-1/2"</t>
  </si>
  <si>
    <t>Drywall 1/2" / National Gypsum / Gold Bond XP Gypsum Board / 1/2"</t>
  </si>
  <si>
    <t>Drywall 5/8" / National Gypsum / Gold Bond XP Fire-Shield Gypsum Board / 5/8" type X</t>
  </si>
  <si>
    <t>Eelgrass accoustic board / Søuld ApS / Søuld Acoustic Mats / Flame retardant, NRC 0.90 [EU]</t>
  </si>
  <si>
    <t>Engineered Wood Flooring / CRAFT Artisan Wood Floors / Engineered / 5/8"</t>
  </si>
  <si>
    <t>Engineered Wood flooring / Wickham / Engineered Hardwood / 16 mm</t>
  </si>
  <si>
    <t>Engineered Wood Siding &amp; Trim / LP / SmartSide / 0.578" (14.7mm)</t>
  </si>
  <si>
    <t>Engineered Wood Siding &amp; Trim / LP / SmartSide / 0.418" (10.6 mm)</t>
  </si>
  <si>
    <t>Engineered Wood Siding &amp; Trim / LP / SmartSide / 0.354" (9 mm)</t>
  </si>
  <si>
    <t>Engineered Wood Siding &amp; Trim / LP / SmartSide ExpertFinish/ 3/8" (9.5 mm)</t>
  </si>
  <si>
    <t>Engineered Wood Siding &amp; Trim / LP / BuilderSeries® Lap Siding / 9/32" (7.3 mm)</t>
  </si>
  <si>
    <t>Fiber Cement roofing / Cembrit / Corrugated sheets / 6.5 mm / [EU]</t>
  </si>
  <si>
    <t>Fiber Cement roofing / Cembrit / Slates / 4 mm / [EU]</t>
  </si>
  <si>
    <t>Fiber Cement siding / Equitone / Pictura, Natura Pro, sheets / 8 mm [EU]</t>
  </si>
  <si>
    <t>Fiber Cement siding / Equitone / Linea|Lunara sheets / 10 mm [EU]</t>
  </si>
  <si>
    <t>Fiber Cement siding / JamesHardie / Hardie Plank HZ10, Hardie Panel HZ10, Hardie Architectural Panel HZ10 / 8 mm</t>
  </si>
  <si>
    <t>Fiber Cement siding / JamesHardie / Hardie Plank HZ5, Hardie Panel HZ5, Hardie Architectural Panel HZ5 / 8 mm</t>
  </si>
  <si>
    <t>Fiber Cement siding / JamesHardie / Hardie Shingle HZ5 / 6.3 mm</t>
  </si>
  <si>
    <t>Fiber Cement siding / JamesHardie / Hardie Shingle HZ10 /  6.3 mm</t>
  </si>
  <si>
    <t>TREATED WOOD FOUNDATION - 2x8 framing @ 16" OC, 3/4" plywood sheathing</t>
  </si>
  <si>
    <t>Straw bale infill with wood framing (SIP) / R-46 / 14" / double 2x4 @ 30" o/c</t>
  </si>
  <si>
    <t>Glued Laminated Timber (Glulam) / Element5  / Ontario</t>
  </si>
  <si>
    <t>Glued Laminated Timber (Glulam) / Kalesnikoff Lumber Co. / BC</t>
  </si>
  <si>
    <t>Glued Laminated Timber (Glulam) / Structurlam / Glulam Plus  3-1/2" Panel / BC</t>
  </si>
  <si>
    <t>Glued Laminated Timber (Glulam) / Vaagen / Colville, WA</t>
  </si>
  <si>
    <t xml:space="preserve">Glued Laminated Timber (Glulam) / Western Archrib / Boissevain, Manitoba </t>
  </si>
  <si>
    <t>Glued Laminated Timber (Glulam) / Western Archrib / Edmonton, Alberta</t>
  </si>
  <si>
    <t>Grass Insulation / Gramitherm 100 batt / R3.5-inch [EU]</t>
  </si>
  <si>
    <t>Hard Bamboo flooring / MOSO / Solid &amp; Supra Collection / 20mm, High Density</t>
  </si>
  <si>
    <t>Hard Bamboo flooring / MOSO / Purebamboo, Topbamboo, Bamboo Supreme, UltraDensity / 9/16" (15mm), High Density</t>
  </si>
  <si>
    <t>Bamboo beams / MOSO / Bamboo Solid Beams / High Density</t>
  </si>
  <si>
    <t>Hardwood flooring / mafi / Natural Hardwood Planks / 3/4", 3 ply laminated solid, oil pre-finished [EU]</t>
  </si>
  <si>
    <t>Hardwood flooring / Wickham / Solid Hardwood / 3/4"</t>
  </si>
  <si>
    <t>Heat Treated Wood Cladding / Abodo / Vulcan - Thermally Modified Timber, Surfaced / 20 mm [NZ]</t>
  </si>
  <si>
    <t>Heat Treated Wood Cladding / Lunawood / Planed Thermowood D / 20 mm [EU]</t>
  </si>
  <si>
    <t>Heat Treated Wood Cladding / Lunawood / Planed Thermowood S / 20 mm [EU]</t>
  </si>
  <si>
    <t>Heat Treated Wood Cladding / Russwood / Accoya profiled cladding / 20 mm [EU]</t>
  </si>
  <si>
    <t>Hemp fiber batt / Ekolution / Hemp fiber insulation / R 3.6-inch [EU]</t>
  </si>
  <si>
    <t>Hemp fiber batt / KOBE-cz / ECO HempFlex insulation / R 3.6-inch [EU]</t>
  </si>
  <si>
    <t>Hemp fiber batt / NaturFibre / Hemp Wool / R 3.7-inch</t>
  </si>
  <si>
    <t>Hempcrete / Cast in-situ / IsoHemp / R 2.2-inch / [EU]</t>
  </si>
  <si>
    <t>Hempcrete / Cast in-situ / Avg. mix using NHL &amp; PHL / R 2.2-inch / USA</t>
  </si>
  <si>
    <t>Hempcrete block / Isohemp / Hemp Block PAL36EX  including mortar / 600 x 300 x 150-360 mm / R 2.0-inch [EU]</t>
  </si>
  <si>
    <t>Hempcrete block / Senini / Blocco Ambiente / 20x50x30 / R2.1-inch / 330 kg/m3 [EU]</t>
  </si>
  <si>
    <t>Hempcrete cast in place / Senini / Bio Beton Jet / R2.7-inch / 230 kg/m3 [EU]</t>
  </si>
  <si>
    <t>Hempcrete dry fill / Senini / Bio Beton Pronto / R2.7-inch / 190 kg/m3 [EU]</t>
  </si>
  <si>
    <t>HempWood / Fibonacci / Natural Laminate Flooring / 16 mm</t>
  </si>
  <si>
    <t>Insulated OSB sheathing &amp; barrier / Huber ZIP System / R-12 / 7/16" OSB; 2" foam (polyisocyanurate)</t>
  </si>
  <si>
    <t>Insulated OSB sheathing &amp; barrier / Huber ZIP System / R-9 / 7/16" OSB; 1.5" foam (polyisocyanurate)</t>
  </si>
  <si>
    <t>Insulated OSB sheathing &amp; barrier / Huber ZIP System / R-6 / 7/16" OSB; 1" foam (polyisocyanurate)</t>
  </si>
  <si>
    <t>Insulated OSB sheathing &amp; barrier / Huber ZIP System / R-3 / 7/16" OSB; 1/2" foam (polyisocyanurate)</t>
  </si>
  <si>
    <t>Bamboo Glulam / Lamboo / Structural Grade Product Systems</t>
  </si>
  <si>
    <t>Laminated Bamboo flooring / MOSO / Bamboo Elite &amp; Elite Premium, Industriale /  9/16" (15mm)</t>
  </si>
  <si>
    <t xml:space="preserve">Laminated veneer lumber (LVL) / RedBuilt / RedLam LVL </t>
  </si>
  <si>
    <t>Lime/Cork Plaster (Int.) / Diasen / Diathonite Acoustix, 3/4" [EU]</t>
  </si>
  <si>
    <t>Lime/Cork Plaster (Ext. &amp; Int.) / Diasen / Diathonite Thermactive.037, R3.9-inch / 3/4" [EU]</t>
  </si>
  <si>
    <t>Lime/Cork Plaster (Ext. &amp; Int.) / Diasen / Diathonite Evolution, R3.2-inch / 3/4" [EU]</t>
  </si>
  <si>
    <t>Linoleum flooring / Forbo / Marmoleum / 2.5 mm sheet style linoleum</t>
  </si>
  <si>
    <t>Linoleum flooring / Forbo / Marmoleum / 2.0 mm sheet style linoleum</t>
  </si>
  <si>
    <t>Linoleum flooring / Gerflor  / DLW Linoleum Acousticplus / 4.0 mm sheet style linoleum with Neocare backing</t>
  </si>
  <si>
    <t>Linoleum flooring / Gerflor  / DLW Linoleum Compact / 2.5 mm sheet style linoleum</t>
  </si>
  <si>
    <t>Linoleum flooring / Mannington / Legato Flooring / 2.2 liquid applied</t>
  </si>
  <si>
    <t>Linoleum flooring / Tarkett  / Veneto Acoustic Cork / 4.4 mm sheet style linoleum with cork backing</t>
  </si>
  <si>
    <t>Linoleum flooring / Tarkett  / Lino Acoustic / 3.8 mm sheet style linoleum with polyurethane foam backing</t>
  </si>
  <si>
    <t>Linoleum flooring / Tarkett  / Lino Veneto xf2, Etrusco, Style Elle|Emme, Veneto, Originale, LinoRail, Linosport / 2.5 mm sheet style linoleum</t>
  </si>
  <si>
    <t>Laminated Veneer Lumber (LVL) / Boise Cascade / Versa-Lam</t>
  </si>
  <si>
    <t>Mass ply panels (MPP) / Freres Lumber</t>
  </si>
  <si>
    <t>MgO board 1/2" / Sinh Build / MAGOXX boards / 1/2" [EU]</t>
  </si>
  <si>
    <t>OSB sheathing &amp; barrier / Huber ZIP System / Roof and Wall Sheathing / 5/8"</t>
  </si>
  <si>
    <t>OSB sheathing &amp; barrier / Huber ZIP System / Roof and Wall Sheathing / 1/2"</t>
  </si>
  <si>
    <t>OSB sheathing &amp; barrier / Huber ZIP System / Roof and Wall Sheathing / 7/16"</t>
  </si>
  <si>
    <t>OSB sheathing / 1/2" / Huber  / AdvanTech / 1/2" Sheathing</t>
  </si>
  <si>
    <t>OSB sheathing / 1/2" / LP / WeatherLogic® Air &amp; Water Barrier / 1/2"</t>
  </si>
  <si>
    <t>OSB sheathing / 7/16" / LP / WeatherLogic® Air &amp; Water Barrier / 7/16"</t>
  </si>
  <si>
    <t>OSB sheathing / 7/16" / LP / TopNotch® 350 / 7/16"</t>
  </si>
  <si>
    <t>OSB sheathing / 7/16" / LP / FlameBlock® Fire-Rated / 7/16", coated 1 side</t>
  </si>
  <si>
    <t>OSB subflooring / Huber  / AdvanTech / 19/32" Subflooring</t>
  </si>
  <si>
    <t>OSB subflooring / LP / LP Legacy® Premium / 5/8"</t>
  </si>
  <si>
    <t>Plywood / 3/4" / Roseburg softwood plywood</t>
  </si>
  <si>
    <t xml:space="preserve">Plywood / 3/4" / Roseburg / SkyPly / hardwood plywood, incl. walnut, alder, cherry, mahogany, oak, birch, maple faces </t>
  </si>
  <si>
    <t xml:space="preserve">Plywood / 1/2" / Roseburg softwood plywood / </t>
  </si>
  <si>
    <t>Wood tube studs / Wood Tube // 1.5 x 2.5" / Recycled paper, stud only [EU]</t>
  </si>
  <si>
    <t>Plywood / 1/2" / British Columbia Average</t>
  </si>
  <si>
    <t>Straw board / VestaEco Straw Insulation Boards 140 / R 4-inch  [EU]</t>
  </si>
  <si>
    <t>Straw board partition wall / Ekopanely / Ekopanel E60-1200 / 60 mm  [EU]</t>
  </si>
  <si>
    <t>Straw board sheathing / VestaEco Straw Boards 280 / 30 mm [EU]</t>
  </si>
  <si>
    <t>Compressed straw board / Durra Panel / Durra Wall &amp; Ceiling Panels / 50 mm / R1.8-inch</t>
  </si>
  <si>
    <t>Straw board partition wall / Durra Panel / Durra Wall Panels / 50 mm [AUS]</t>
  </si>
  <si>
    <t>Straw Insulated Panels with wood framing (SIP) / EcoCocon / Prefabricated panel, 40 cm / R35 [EU]</t>
  </si>
  <si>
    <t>Veneer Laminated Timber (VLT) / Boise Cascade /  VersaWorks</t>
  </si>
  <si>
    <t>Window - double-glazed / Wood frame / BfCA Study [US &amp; CA]</t>
  </si>
  <si>
    <t>Window - double-glazed / Wood frame, aluminum cladding / BfCA Study [US &amp; CA]</t>
  </si>
  <si>
    <t>Window - triple pane / Wood frame / BfCA Study [US &amp; CA]</t>
  </si>
  <si>
    <t>Window - triple pane / Wood frame, aluminum cladding / BfCA Study [US &amp; CA]</t>
  </si>
  <si>
    <t>Wood / SPF / 2x8 Lumber / Surfaced Dry Softwood Lumber Produced in British Columbia</t>
  </si>
  <si>
    <t>Wood / SPF / 2x6 Lumber / Surfaced Dry Softwood Lumber Produced in British Columbia</t>
  </si>
  <si>
    <t>Wood / SPF / 2x4 Lumber / Surfaced Dry Softwood Lumber Produced in British Columbia</t>
  </si>
  <si>
    <t>Wood chip cement ICF / Nexcem, Faswall / 14" R28 block</t>
  </si>
  <si>
    <t>Wood chip cement ICF / Nexcem, Faswall / 12" R22 block</t>
  </si>
  <si>
    <t>Wood cladding / BurntWood / ReUse with linseed oil treatment / 18 mm [EU]</t>
  </si>
  <si>
    <t>Wood cladding / BurntWood / ReUse without surface treatment / 18 mm [EU]</t>
  </si>
  <si>
    <t>Wood fiber loose fill / GUTEX / ThermoFiber / R 3.8-inch [EU]</t>
  </si>
  <si>
    <t>Wood fiber batt / GUTEX / ThermoFlex / R 4-inch [EU]</t>
  </si>
  <si>
    <t>Wood fiber batt / Steico / SteicoFlex / R 3.8-inch [EU]</t>
  </si>
  <si>
    <t>Wood fiber board / GUTEX / Multi-Therm / R 3.6-inch, 40-200 mm [EU]</t>
  </si>
  <si>
    <t>Wood fiber board / Pavatex / Isolair, Isoroof, Isolair Multi / R 3.3-inch / 200 kg/m3, 30-80 mm [EU]</t>
  </si>
  <si>
    <t>Wood fiber board / Pavatex / Pavawall GF, Pavawall Bloc, Pavawall GF XL / R 3.3-inch / 130 kg/m3 [EU]</t>
  </si>
  <si>
    <t>Wood fiber board / Pavatex / Pavawall Smart, Pavawall Light, Pavawall FW / R 3.3-inch / 115 kg/m3 [EU]</t>
  </si>
  <si>
    <t>Wood fiber board / Pavatex / Pavatherm / R 3.3-inch / 110 kg/m3 [EU]</t>
  </si>
  <si>
    <t>Wood fiber board / Steico / STEICOprotect S dry, STEICOsafe 40, STEICOuniversal dry / R 3.6-inch, 210 kg/m3 [EU]</t>
  </si>
  <si>
    <t>Wood fiber board / Steico / STEICOprotect M dry, STEICOroof dry, STEICOspecial dry, STEICOtop / R 3.6-inch, 140 kg/m3 [EU]</t>
  </si>
  <si>
    <t>Wood fiber board / Steico / STEICOtherm dry, STEICOprotect L dry, STEICOsafe / R 3.6-inch, 110 kg/m3 [EU]</t>
  </si>
  <si>
    <t>Wood I joist / RedBuilt / Red-I Joists / Red I-65 / 16" depth, 2.5 x 1.5" LVL flanges</t>
  </si>
  <si>
    <t>Wood I joist / RedBuilt / Red-I Joists / Red I-65 / 14" depth, 2.5 x 1.5" LVL flanges</t>
  </si>
  <si>
    <t>Wood I joist / RedBuilt / Red-I Joists / Red I-65 / 11.875" depth, 2.5 x 1.5" LVL flanges</t>
  </si>
  <si>
    <t>Wood I joist / RedBuilt / Red-I Joists / Red I-45 / 16" depth, 1.75 x 1.5" LVL flanges</t>
  </si>
  <si>
    <t>Wood I joist / RedBuilt / Red-I Joists / Red I-45 / 14" depth, 1.75 x 1.5" LVL flanges</t>
  </si>
  <si>
    <t>Wood I joist / RedBuilt / Red-I Joists / Red I-45 / 11.875" depth, 1.75 x 1.5" LVL flanges</t>
  </si>
  <si>
    <t xml:space="preserve">Wood wool boards / Armstrong / Tectum ceiling &amp; wall boards / 2" </t>
  </si>
  <si>
    <t>Wood/steel hybrid floor truss / RedBuilt / Red-S Open-Web / 16" deep, double 1.5 x 2.3" LVL chords</t>
  </si>
  <si>
    <t>Wood/steel hybrid floor truss / RedBuilt / Red-W Open-Web / 14" deep, 1.5 x 4.25" chords</t>
  </si>
  <si>
    <t>Wood/steel hybrid floor truss / RedBuilt / Red-L Open-Web / 14" deep, 1.5 x 3.5" chords</t>
  </si>
  <si>
    <t>Wool batt / Havelock Wool / Batts / R 3.6-inch</t>
  </si>
  <si>
    <t>Wool batt / ISOLENA / Optimal batt / 5.5 inch / R 3.8-inch [EU]</t>
  </si>
  <si>
    <t>Wool batt / Thermafleece / Cosywool Slab / R3.8-inch [EU]</t>
  </si>
  <si>
    <t>Wool batt / Thermafleece / UltraWool Slab / R4.1-inch [EU]</t>
  </si>
  <si>
    <t>Wool batt / Thermafleece / Cosywool Roll / R3.7-inch [EU]</t>
  </si>
  <si>
    <t>Wool Loose-fill / Havelock Wool / Loose-fill / R 4.4-inch</t>
  </si>
  <si>
    <t>m2 @5/8"</t>
  </si>
  <si>
    <t>m2 @3/4"</t>
  </si>
  <si>
    <t>m2 at 1/2"</t>
  </si>
  <si>
    <t>m2</t>
  </si>
  <si>
    <t xml:space="preserve">m2 </t>
  </si>
  <si>
    <t>m2 at 14.7 mm (0.578")</t>
  </si>
  <si>
    <t>m2 at 10.6 mm (0.418")</t>
  </si>
  <si>
    <t>m2 at 9 mm (0.354")</t>
  </si>
  <si>
    <t>m2 at 9.5 mm (3/8")</t>
  </si>
  <si>
    <t>m2 at 7.3  mm (9/32")</t>
  </si>
  <si>
    <t>m3</t>
  </si>
  <si>
    <t>m³</t>
  </si>
  <si>
    <t>m2 @15mm</t>
  </si>
  <si>
    <t>m2 RSI</t>
  </si>
  <si>
    <t>m2 @ 2.5"</t>
  </si>
  <si>
    <t>m²•RSI</t>
  </si>
  <si>
    <t>m2 of window</t>
  </si>
  <si>
    <t xml:space="preserve">m </t>
  </si>
  <si>
    <t>Type</t>
  </si>
  <si>
    <t>Short Cycle</t>
  </si>
  <si>
    <t>Salvaged</t>
  </si>
  <si>
    <t>See Display Name</t>
  </si>
  <si>
    <t>Short Cycle Biogenic Materials</t>
  </si>
  <si>
    <t>Short Cycle Biogenic Material</t>
  </si>
  <si>
    <t xml:space="preserve">Core and Shell New Materials </t>
  </si>
  <si>
    <t>Interiors New Materials</t>
  </si>
  <si>
    <t>Notes</t>
  </si>
  <si>
    <t>Concrete Supplier Contact Email</t>
  </si>
  <si>
    <t>Contractor Contact Name</t>
  </si>
  <si>
    <t>Contractor Contact Email</t>
  </si>
  <si>
    <t>As-Built Reporting of Concrete Quantities and Embodied Carbon Intensities</t>
  </si>
  <si>
    <t>Sum:</t>
  </si>
  <si>
    <t xml:space="preserve">Sum: </t>
  </si>
  <si>
    <t>BEAM Common Unit: kgCO2e / _</t>
  </si>
  <si>
    <t>BEAM Biogenic Storage kgCO2e/(common unit)</t>
  </si>
  <si>
    <t>BEAM Display Name</t>
  </si>
  <si>
    <r>
      <t>m</t>
    </r>
    <r>
      <rPr>
        <vertAlign val="superscript"/>
        <sz val="11"/>
        <color theme="1"/>
        <rFont val="Calibri"/>
        <family val="2"/>
        <scheme val="minor"/>
      </rPr>
      <t>2</t>
    </r>
  </si>
  <si>
    <t>Cork flooring / Amorim /  Revestimentos S.A. / Cork floating floor planks / 6 mm [EU]</t>
  </si>
  <si>
    <t>m² of window</t>
  </si>
  <si>
    <t>m2 @ 3.5"</t>
  </si>
  <si>
    <t>m2 @ 7.25"</t>
  </si>
  <si>
    <t>m2 @ 5.5"</t>
  </si>
  <si>
    <t xml:space="preserve">Does the project specify product specific elements in the design? </t>
  </si>
  <si>
    <r>
      <t xml:space="preserve"> </t>
    </r>
    <r>
      <rPr>
        <b/>
        <sz val="12"/>
        <color theme="0" tint="-0.14999847407452621"/>
        <rFont val="Arial"/>
        <family val="2"/>
      </rPr>
      <t>.</t>
    </r>
    <r>
      <rPr>
        <b/>
        <sz val="12"/>
        <color theme="1"/>
        <rFont val="Arial"/>
        <family val="2"/>
      </rPr>
      <t xml:space="preserve">                                   Carbon Storage                         </t>
    </r>
  </si>
  <si>
    <r>
      <rPr>
        <sz val="12"/>
        <color theme="0" tint="-0.14999847407452621"/>
        <rFont val="Arial"/>
        <family val="2"/>
      </rPr>
      <t>.</t>
    </r>
    <r>
      <rPr>
        <sz val="12"/>
        <color theme="1"/>
        <rFont val="Arial"/>
        <family val="2"/>
      </rPr>
      <t xml:space="preserve"> (Optional)                               </t>
    </r>
  </si>
  <si>
    <t xml:space="preserve">Summary of Short Cycle Biogenic Materials </t>
  </si>
  <si>
    <t>Data input method</t>
  </si>
  <si>
    <t>Will supporting documentation be provided using Manual Calculations or this form?</t>
  </si>
  <si>
    <t>Ready-Mix Design Number on Batch Receipt</t>
  </si>
  <si>
    <t xml:space="preserve">Concrete As-Built Supporting Material </t>
  </si>
  <si>
    <t>This form</t>
  </si>
  <si>
    <t>Manual calculations</t>
  </si>
  <si>
    <t>Report the A-C Embodied Carbon above.</t>
  </si>
  <si>
    <t xml:space="preserve">Design ILC Reporting </t>
  </si>
  <si>
    <t>✔</t>
  </si>
  <si>
    <t>As-built GWP substantiated by mix-specific, Type III EPDs</t>
  </si>
  <si>
    <t xml:space="preserve">Is this project pursuing Industry Leadership Credit a.ii  Report As-Built Concrete Data Volume Reporting? </t>
  </si>
  <si>
    <t xml:space="preserve">Is this project pursuing Industry Leadership Credit a.ii  Report As-Built Concrete Data GWP Reporting? </t>
  </si>
  <si>
    <t>Key Product</t>
  </si>
  <si>
    <t>https://portfoliomanager.energystar.gov/pdf/reference/Emissions.pdf</t>
  </si>
  <si>
    <r>
      <rPr>
        <b/>
        <sz val="11"/>
        <color rgb="FFFF0000"/>
        <rFont val="Calibri"/>
        <family val="2"/>
        <scheme val="minor"/>
      </rPr>
      <t xml:space="preserve">FB Notes: </t>
    </r>
    <r>
      <rPr>
        <sz val="11"/>
        <color theme="1"/>
        <rFont val="Calibri"/>
        <family val="2"/>
        <scheme val="minor"/>
      </rPr>
      <t xml:space="preserve">
- Used Short-Cycle numbers in column Z and Long-Cycle numbers form column AB H:\SUSTAINABILITY\GREEN BUILDINGS\SEND - Embodied Carbon\Guidelines &amp; Design Report\2 EC Design Report (Template)\EC Design Report V 2.0\BEAM Carbon Storing Values-2024-Downloaded.xlsx https://docs.google.com/spreadsheets/d/19mS2gVDYLMzV3L0kNkEY6cevr4P8omUriEmSpQPFquI/edit?gid=1329465050#gid=1329465050 
- Removed the source (e.g., Beam Average) as this list is Vancouver-policy specific. 
- Salvaged wood products use the long-cycle carbon storage values from BEAM. Only industry wide EPDs or BEAM averages are used. 
- Suggest to use m3 throughout. Options are to use m2/RSI (as per BEAM) or m3. If using specific thickness (e.g., 25 mm), then a project with 50 mm would be required to calculate an equivelant m2 at 25 mm - not representative. Including the R-value per inch in the Display Name  in case the insulation material used has a slightly different R-Value so users can adjust.
- Using product specific EPDs was included if the project specifies them.  
- Only Industry Average values were used without a specification of product due to concerns with representativeness. E.g., One product to the next can have an unknown amount of biogenic carbon stored in the product - the Biopreferred program from the USDA states a minimum amount of bio-based material that is required within the product to be included to address https://www.biopreferred.gov/BioPreferred/faces/pages/ProductCategories.xhtml. 
 This is especially true for products that comprise of both biogenic and non-biogenic materials (e.g., hempcrete). 
- differences in product GWPfossil from manufacturing process would be captured in the GWP-fossil within the wbLCA tool. </t>
    </r>
  </si>
  <si>
    <t xml:space="preserve">Provide any additional information here. </t>
  </si>
  <si>
    <t>Subtrade Name</t>
  </si>
  <si>
    <t>Date (YYYY-MM-DD)</t>
  </si>
  <si>
    <t>Trip Purpose</t>
  </si>
  <si>
    <t>Origin/Destination</t>
  </si>
  <si>
    <t>Number of Trips Made (same date &amp; destination)</t>
  </si>
  <si>
    <t>A4 Emissions (kgCO2e)</t>
  </si>
  <si>
    <t>Mode of Transportation</t>
  </si>
  <si>
    <t>Concrete mixing truck</t>
  </si>
  <si>
    <t>Rail</t>
  </si>
  <si>
    <t>yd*3-mile</t>
  </si>
  <si>
    <t>Source</t>
  </si>
  <si>
    <t>[1]</t>
  </si>
  <si>
    <t>[2]</t>
  </si>
  <si>
    <t>ASHRAE 240p</t>
  </si>
  <si>
    <t>EPA Emission Factors for Greenhouse Gas Inventories 2025: https://www.epa.gov/system/files/documents/2025-01/ghg-emission-factors-hub-2025.pdf</t>
  </si>
  <si>
    <t>m3-km</t>
  </si>
  <si>
    <t>Waterborne Craft</t>
  </si>
  <si>
    <t>Aircraft</t>
  </si>
  <si>
    <t>vehicle-mile</t>
  </si>
  <si>
    <t>vehicle-km</t>
  </si>
  <si>
    <t>short ton-mile</t>
  </si>
  <si>
    <t>Imperial GHG Emission Factor (kgCO2e/Unit)</t>
  </si>
  <si>
    <t>Imperial Unit</t>
  </si>
  <si>
    <t>Metric GHG Emission Factor (kgCO2e/Unit)</t>
  </si>
  <si>
    <t>Metric Unit</t>
  </si>
  <si>
    <t>tonne-km</t>
  </si>
  <si>
    <t>Assumed concrete density of 2.4 tonne/m3</t>
  </si>
  <si>
    <t xml:space="preserve">Difference </t>
  </si>
  <si>
    <t xml:space="preserve"> Weight (tonne)</t>
  </si>
  <si>
    <t xml:space="preserve"> Assumed Transport Distance (km)</t>
  </si>
  <si>
    <t xml:space="preserve">Mode of Transport </t>
  </si>
  <si>
    <t>Target Emissions for As-Designed A4 (kgCO2e)</t>
  </si>
  <si>
    <t>a.iii  Report As-Built Transportation Data</t>
  </si>
  <si>
    <t>As-Built Reporting of Transportation Data</t>
  </si>
  <si>
    <t xml:space="preserve">Transportation Emissions Design vs. As-Built Evaluation </t>
  </si>
  <si>
    <t xml:space="preserve">For info. </t>
  </si>
  <si>
    <t>a.ii. Report As-Built Concrete Data</t>
  </si>
  <si>
    <t>Reporting Entity Contact Information</t>
  </si>
  <si>
    <t xml:space="preserve">As-built emissions are less than as designed emissions? </t>
  </si>
  <si>
    <t>As-built reported</t>
  </si>
  <si>
    <t xml:space="preserve">Design vs. As-Built Concrete Evaluation </t>
  </si>
  <si>
    <t>Project budget from design</t>
  </si>
  <si>
    <t xml:space="preserve">Concrete Project Budget Evaluation </t>
  </si>
  <si>
    <t>The as-built concrete is equal to or less than the design concrete budget</t>
  </si>
  <si>
    <r>
      <t>Concrete Volume Project Budget (m</t>
    </r>
    <r>
      <rPr>
        <b/>
        <vertAlign val="superscript"/>
        <sz val="11"/>
        <rFont val="Calibri"/>
        <family val="2"/>
        <scheme val="minor"/>
      </rPr>
      <t>3</t>
    </r>
    <r>
      <rPr>
        <b/>
        <sz val="11"/>
        <rFont val="Calibri"/>
        <family val="2"/>
        <scheme val="minor"/>
      </rPr>
      <t>)</t>
    </r>
  </si>
  <si>
    <r>
      <t>Mix Embodied Carbon (kgCO</t>
    </r>
    <r>
      <rPr>
        <b/>
        <vertAlign val="subscript"/>
        <sz val="10"/>
        <rFont val="Arial"/>
        <family val="2"/>
      </rPr>
      <t>2</t>
    </r>
    <r>
      <rPr>
        <b/>
        <sz val="10"/>
        <rFont val="Arial"/>
        <family val="2"/>
      </rPr>
      <t>e)</t>
    </r>
  </si>
  <si>
    <t>e.g., 1,000</t>
  </si>
  <si>
    <t>e.g., 2027-01-20</t>
  </si>
  <si>
    <t>e.g., 250</t>
  </si>
  <si>
    <t>e.g., No</t>
  </si>
  <si>
    <t>e.g., 30</t>
  </si>
  <si>
    <t>e.g., 100</t>
  </si>
  <si>
    <t>e.g., AA-1234</t>
  </si>
  <si>
    <r>
      <t>Volume of Concrete Poured (m</t>
    </r>
    <r>
      <rPr>
        <b/>
        <vertAlign val="superscript"/>
        <sz val="10"/>
        <rFont val="Arial"/>
        <family val="2"/>
      </rPr>
      <t>3</t>
    </r>
    <r>
      <rPr>
        <b/>
        <sz val="10"/>
        <rFont val="Arial"/>
        <family val="2"/>
      </rPr>
      <t>)</t>
    </r>
  </si>
  <si>
    <r>
      <t>Embodied Carbon Intensity per EPD (kgCO</t>
    </r>
    <r>
      <rPr>
        <b/>
        <vertAlign val="subscript"/>
        <sz val="10"/>
        <rFont val="Arial"/>
        <family val="2"/>
      </rPr>
      <t>2</t>
    </r>
    <r>
      <rPr>
        <b/>
        <sz val="10"/>
        <rFont val="Arial"/>
        <family val="2"/>
      </rPr>
      <t>e/m</t>
    </r>
    <r>
      <rPr>
        <b/>
        <vertAlign val="superscript"/>
        <sz val="10"/>
        <rFont val="Arial"/>
        <family val="2"/>
      </rPr>
      <t>3</t>
    </r>
    <r>
      <rPr>
        <b/>
        <sz val="10"/>
        <rFont val="Arial"/>
        <family val="2"/>
      </rPr>
      <t>)</t>
    </r>
  </si>
  <si>
    <t>EPD Expiry Date</t>
  </si>
  <si>
    <t>Data from sheet Design ILCs Results for A4 emissions</t>
  </si>
  <si>
    <t xml:space="preserve">Reporting Entity Title (e.g., Construction Management Manager) </t>
  </si>
  <si>
    <t xml:space="preserve"> Contact Name</t>
  </si>
  <si>
    <t xml:space="preserve"> Contact Email</t>
  </si>
  <si>
    <t>Truck: Medium- and Heavy-Duty (Weight)</t>
  </si>
  <si>
    <t>Design Calculations</t>
  </si>
  <si>
    <t>e.g., 200</t>
  </si>
  <si>
    <t>e.g., 15</t>
  </si>
  <si>
    <t>e.g., John Doe Contractor</t>
  </si>
  <si>
    <t>e.g., 2025-08-08</t>
  </si>
  <si>
    <t>e.g., Drop off</t>
  </si>
  <si>
    <t>e.g., Rona/Site</t>
  </si>
  <si>
    <t>e.g., 2</t>
  </si>
  <si>
    <t>e.g., Concrete</t>
  </si>
  <si>
    <t>e.g., Concrete mixing truck</t>
  </si>
  <si>
    <t xml:space="preserve">Confirm that the sub-elements listed in Section I.4 of Appendix I: Industry Leadership Credits are included for each building element scope reported. </t>
  </si>
  <si>
    <t xml:space="preserve">The raw data files are supplied with the application. </t>
  </si>
  <si>
    <t xml:space="preserve">Commit to track any transportation of waste or activities requiring the use of equipment, tools, or facilities consuming fuel or energy on the construction site. </t>
  </si>
  <si>
    <t>Existing building height (m)</t>
  </si>
  <si>
    <t>Date building was relocated (YYYY-MM-DD)</t>
  </si>
  <si>
    <t>1%-5%</t>
  </si>
  <si>
    <t>Relocation Company Name:</t>
  </si>
  <si>
    <t>Relocation Company Representative Name:</t>
  </si>
  <si>
    <t>Relocation Company Representative Email:</t>
  </si>
  <si>
    <t xml:space="preserve">Quantity </t>
  </si>
  <si>
    <t>Unit</t>
  </si>
  <si>
    <r>
      <t>A1-A3 Embodied Carbon (kgCO</t>
    </r>
    <r>
      <rPr>
        <b/>
        <vertAlign val="subscript"/>
        <sz val="11"/>
        <rFont val="Calibri"/>
        <family val="2"/>
        <scheme val="minor"/>
      </rPr>
      <t>2</t>
    </r>
    <r>
      <rPr>
        <b/>
        <sz val="11"/>
        <rFont val="Calibri"/>
        <family val="2"/>
        <scheme val="minor"/>
      </rPr>
      <t>e)</t>
    </r>
  </si>
  <si>
    <t>Example Format</t>
  </si>
  <si>
    <t>Industry Leadership Credits - a. Report Additional Information</t>
  </si>
  <si>
    <t>Industry Leadership Credits - b. Reuse Materials</t>
  </si>
  <si>
    <t xml:space="preserve">Reporting Requirements Checklist: </t>
  </si>
  <si>
    <r>
      <t xml:space="preserve">Credit 
</t>
    </r>
    <r>
      <rPr>
        <b/>
        <sz val="9"/>
        <rFont val="Gotham-Medium"/>
      </rPr>
      <t>(Max 3%)</t>
    </r>
  </si>
  <si>
    <r>
      <t xml:space="preserve">Credit 
</t>
    </r>
    <r>
      <rPr>
        <b/>
        <sz val="9"/>
        <rFont val="Gotham-Medium"/>
      </rPr>
      <t>(Max 5%)</t>
    </r>
  </si>
  <si>
    <r>
      <t>Target Emissions for As-Designed A4 (kgCO</t>
    </r>
    <r>
      <rPr>
        <b/>
        <vertAlign val="subscript"/>
        <sz val="10"/>
        <rFont val="Arial"/>
        <family val="2"/>
      </rPr>
      <t>2</t>
    </r>
    <r>
      <rPr>
        <b/>
        <sz val="10"/>
        <rFont val="Arial"/>
        <family val="2"/>
      </rPr>
      <t>e)</t>
    </r>
  </si>
  <si>
    <r>
      <t>Credit</t>
    </r>
    <r>
      <rPr>
        <b/>
        <sz val="9"/>
        <rFont val="Gotham-Medium"/>
      </rPr>
      <t xml:space="preserve"> 
(Max 5%)</t>
    </r>
  </si>
  <si>
    <r>
      <t>Finished floor space of existing building (m</t>
    </r>
    <r>
      <rPr>
        <vertAlign val="superscript"/>
        <sz val="10"/>
        <color theme="1"/>
        <rFont val="Arial"/>
        <family val="2"/>
      </rPr>
      <t>2</t>
    </r>
    <r>
      <rPr>
        <sz val="10"/>
        <color theme="1"/>
        <rFont val="Arial"/>
        <family val="2"/>
      </rPr>
      <t>)</t>
    </r>
  </si>
  <si>
    <t>Deconstruction/Demo Company Name:</t>
  </si>
  <si>
    <t>Representative Name:</t>
  </si>
  <si>
    <t>Representative Email:</t>
  </si>
  <si>
    <t>Deconstruction or demolition completion date (YYYY-MM-DD)</t>
  </si>
  <si>
    <t>Provide any additional information here</t>
  </si>
  <si>
    <r>
      <t>Finished floor space of existing building (ft</t>
    </r>
    <r>
      <rPr>
        <vertAlign val="superscript"/>
        <sz val="10"/>
        <color theme="1"/>
        <rFont val="Arial"/>
        <family val="2"/>
      </rPr>
      <t>2</t>
    </r>
    <r>
      <rPr>
        <sz val="10"/>
        <color theme="1"/>
        <rFont val="Arial"/>
        <family val="2"/>
      </rPr>
      <t>)</t>
    </r>
  </si>
  <si>
    <t>Credit % Calculation</t>
  </si>
  <si>
    <t>% Credit</t>
  </si>
  <si>
    <t xml:space="preserve">Provide the Path 1 and or Path 2 data below. </t>
  </si>
  <si>
    <t>Credit Criteria Check</t>
  </si>
  <si>
    <t xml:space="preserve">Meets criteria limit? </t>
  </si>
  <si>
    <r>
      <t>Salvaged material embodied carbon (kgCO</t>
    </r>
    <r>
      <rPr>
        <vertAlign val="subscript"/>
        <sz val="11"/>
        <rFont val="Calibri"/>
        <family val="2"/>
        <scheme val="minor"/>
      </rPr>
      <t>2</t>
    </r>
    <r>
      <rPr>
        <sz val="11"/>
        <rFont val="Calibri"/>
        <family val="2"/>
        <scheme val="minor"/>
      </rPr>
      <t>e)</t>
    </r>
  </si>
  <si>
    <t>Existing Building Information</t>
  </si>
  <si>
    <r>
      <t>b.iii.</t>
    </r>
    <r>
      <rPr>
        <b/>
        <sz val="11"/>
        <color theme="0"/>
        <rFont val="Times New Roman"/>
        <family val="1"/>
      </rPr>
      <t xml:space="preserve"> </t>
    </r>
    <r>
      <rPr>
        <b/>
        <sz val="11"/>
        <color theme="0"/>
        <rFont val="Gotham-Book"/>
      </rPr>
      <t>Design for Disassembly</t>
    </r>
  </si>
  <si>
    <t>Confirm that the Deconstruction Plan has been generated in compliance with Section I.5 (c) Appendix I: Industry Leadership Credits to the City of Vancouver Addendum to the National wbLCA Practitioner's Guide.</t>
  </si>
  <si>
    <t>Confirm that the as-built architectural drawings reference the Deconstruction Plan.</t>
  </si>
  <si>
    <t xml:space="preserve">A5 Sub-Module </t>
  </si>
  <si>
    <t xml:space="preserve">Total A5: </t>
  </si>
  <si>
    <t xml:space="preserve">Construction Emissions Design vs. As-Built Evaluation </t>
  </si>
  <si>
    <t>As-Built Reporting of Preconstruction Demolition (Module A5.1) Data</t>
  </si>
  <si>
    <t>As-Built Reporting of Construction Activities (Module A5.2) Data</t>
  </si>
  <si>
    <t>As-Built Reporting of Construction Waste (Module A5.3) Data</t>
  </si>
  <si>
    <t>Energy Source</t>
  </si>
  <si>
    <t>e.g., Electricity</t>
  </si>
  <si>
    <t>e.g., 28,000</t>
  </si>
  <si>
    <t>e.g., kWh</t>
  </si>
  <si>
    <t>Mode of Transport</t>
  </si>
  <si>
    <t>Material</t>
  </si>
  <si>
    <t>e.g., Mixed waste</t>
  </si>
  <si>
    <t>e.g., 50</t>
  </si>
  <si>
    <t>e.g., Waste transport</t>
  </si>
  <si>
    <t>E.g., Temp Power Consumption</t>
  </si>
  <si>
    <t>E.g., Truck: Medium- and Heavy-Duty (Weight)</t>
  </si>
  <si>
    <t>Electricity</t>
  </si>
  <si>
    <t>GHG Emission Factor (kgCO2e/Unit)</t>
  </si>
  <si>
    <t>kWh</t>
  </si>
  <si>
    <t>Natural Gas</t>
  </si>
  <si>
    <t>CoV Energy Modelling Guidelines</t>
  </si>
  <si>
    <t>Propane</t>
  </si>
  <si>
    <t>Diesel</t>
  </si>
  <si>
    <t>Gasoline</t>
  </si>
  <si>
    <t>Kerosene</t>
  </si>
  <si>
    <t>L</t>
  </si>
  <si>
    <t>Activity</t>
  </si>
  <si>
    <t>Data Source</t>
  </si>
  <si>
    <t>[3]</t>
  </si>
  <si>
    <t>Sources</t>
  </si>
  <si>
    <t>e.g., 0.011</t>
  </si>
  <si>
    <t xml:space="preserve">Other (Input Emissions Factor) </t>
  </si>
  <si>
    <t>e.g., 308</t>
  </si>
  <si>
    <t>Gross Floor Area</t>
  </si>
  <si>
    <t>Required scope elements</t>
  </si>
  <si>
    <r>
      <t>Embodied Carbon of DfD Components (kgCO</t>
    </r>
    <r>
      <rPr>
        <b/>
        <vertAlign val="subscript"/>
        <sz val="10"/>
        <rFont val="Arial"/>
        <family val="2"/>
      </rPr>
      <t>2</t>
    </r>
    <r>
      <rPr>
        <b/>
        <sz val="10"/>
        <rFont val="Arial"/>
        <family val="2"/>
      </rPr>
      <t>e)</t>
    </r>
  </si>
  <si>
    <r>
      <t>Embodied Carbon of Project (kgCO</t>
    </r>
    <r>
      <rPr>
        <b/>
        <vertAlign val="subscript"/>
        <sz val="10"/>
        <rFont val="Arial"/>
        <family val="2"/>
      </rPr>
      <t>2</t>
    </r>
    <r>
      <rPr>
        <b/>
        <sz val="10"/>
        <rFont val="Arial"/>
        <family val="2"/>
      </rPr>
      <t>e)</t>
    </r>
  </si>
  <si>
    <t>Required + Optional scope elements</t>
  </si>
  <si>
    <t xml:space="preserve">Select DfD Methods </t>
  </si>
  <si>
    <r>
      <t>DfD Compliant Units (m</t>
    </r>
    <r>
      <rPr>
        <b/>
        <vertAlign val="superscript"/>
        <sz val="10"/>
        <rFont val="Arial"/>
        <family val="2"/>
      </rPr>
      <t>2</t>
    </r>
    <r>
      <rPr>
        <b/>
        <sz val="10"/>
        <rFont val="Arial"/>
        <family val="2"/>
      </rPr>
      <t>)</t>
    </r>
  </si>
  <si>
    <t xml:space="preserve">Reported quantities meet the criteria listed in Section I.5: Design for Disassembly (DfD) Requirements of Appendix I: Industry Leadership Credits to the City of Vancouver Addendum. </t>
  </si>
  <si>
    <t xml:space="preserve">Commit to generating and submitting a Deconstruction Plan at OP. </t>
  </si>
  <si>
    <t>Scope of Short Cycle Biogenic Carbon Included</t>
  </si>
  <si>
    <t>Required + Optional</t>
  </si>
  <si>
    <r>
      <t>Biogenic Carbon (kgCO</t>
    </r>
    <r>
      <rPr>
        <b/>
        <vertAlign val="subscript"/>
        <sz val="10"/>
        <rFont val="Arial"/>
        <family val="2"/>
      </rPr>
      <t>2</t>
    </r>
    <r>
      <rPr>
        <b/>
        <sz val="10"/>
        <rFont val="Arial"/>
        <family val="2"/>
      </rPr>
      <t>e)</t>
    </r>
  </si>
  <si>
    <t xml:space="preserve">Persuing? </t>
  </si>
  <si>
    <t xml:space="preserve">Activity Emissions Reporting </t>
  </si>
  <si>
    <t xml:space="preserve">Transportation Emissions Reporting </t>
  </si>
  <si>
    <t>Updates to include Industry Leadership Credit requirements</t>
  </si>
  <si>
    <t>Updates to include Short Cycle Biogenic Carbon calculation</t>
  </si>
  <si>
    <t>Will supporting documentation be provided using Manual Calculations, updated wbLCA results, or this form?</t>
  </si>
  <si>
    <t>Select Path 1 
and/or Path 2</t>
  </si>
  <si>
    <t>Industry Leadership Credit Summary</t>
  </si>
  <si>
    <t>% ILC</t>
  </si>
  <si>
    <r>
      <t xml:space="preserve">a.i. </t>
    </r>
    <r>
      <rPr>
        <sz val="11"/>
        <rFont val="Gotham-Book"/>
      </rPr>
      <t>Report Optional Building Element Scope</t>
    </r>
    <r>
      <rPr>
        <sz val="11"/>
        <rFont val="Arial"/>
        <family val="2"/>
      </rPr>
      <t xml:space="preserve"> (Max 5%)</t>
    </r>
  </si>
  <si>
    <r>
      <t xml:space="preserve">a.ii. </t>
    </r>
    <r>
      <rPr>
        <sz val="11"/>
        <rFont val="Gotham-Book"/>
      </rPr>
      <t>Report As-Built Concrete Data</t>
    </r>
    <r>
      <rPr>
        <sz val="11"/>
        <rFont val="Arial"/>
        <family val="2"/>
      </rPr>
      <t xml:space="preserve"> (Max 3%)</t>
    </r>
  </si>
  <si>
    <r>
      <t xml:space="preserve">a.iii. </t>
    </r>
    <r>
      <rPr>
        <sz val="11"/>
        <rFont val="Gotham-Book"/>
      </rPr>
      <t>Report As-Built Transportation Data</t>
    </r>
    <r>
      <rPr>
        <sz val="11"/>
        <rFont val="Arial"/>
        <family val="2"/>
      </rPr>
      <t xml:space="preserve"> (Max 2%)</t>
    </r>
  </si>
  <si>
    <r>
      <t xml:space="preserve">a.iv. </t>
    </r>
    <r>
      <rPr>
        <sz val="11"/>
        <rFont val="Gotham-Book"/>
      </rPr>
      <t xml:space="preserve">Report Project-specific Construction Process Data </t>
    </r>
    <r>
      <rPr>
        <sz val="11"/>
        <rFont val="Arial"/>
        <family val="2"/>
      </rPr>
      <t>(Max 5%)</t>
    </r>
  </si>
  <si>
    <r>
      <t xml:space="preserve">b.i. </t>
    </r>
    <r>
      <rPr>
        <sz val="11"/>
        <rFont val="Gotham-Book"/>
      </rPr>
      <t xml:space="preserve">Relocate Existing Building </t>
    </r>
    <r>
      <rPr>
        <sz val="11"/>
        <rFont val="Arial"/>
        <family val="2"/>
      </rPr>
      <t>(Max 5%)</t>
    </r>
  </si>
  <si>
    <r>
      <t xml:space="preserve">b.ii. </t>
    </r>
    <r>
      <rPr>
        <sz val="11"/>
        <rFont val="Gotham-Book"/>
      </rPr>
      <t>Salvage Materials from Project Site</t>
    </r>
    <r>
      <rPr>
        <sz val="11"/>
        <rFont val="Arial"/>
        <family val="2"/>
      </rPr>
      <t xml:space="preserve"> (Max 5%)</t>
    </r>
  </si>
  <si>
    <r>
      <t>b.iii.</t>
    </r>
    <r>
      <rPr>
        <sz val="11"/>
        <rFont val="Times New Roman"/>
        <family val="1"/>
      </rPr>
      <t xml:space="preserve"> </t>
    </r>
    <r>
      <rPr>
        <sz val="11"/>
        <rFont val="Gotham-Book"/>
      </rPr>
      <t>Design for Disassembly</t>
    </r>
    <r>
      <rPr>
        <sz val="11"/>
        <rFont val="Arial"/>
        <family val="2"/>
      </rPr>
      <t xml:space="preserve"> (Max 5%)</t>
    </r>
  </si>
  <si>
    <r>
      <rPr>
        <b/>
        <sz val="10"/>
        <color theme="1"/>
        <rFont val="Arial"/>
        <family val="2"/>
      </rPr>
      <t xml:space="preserve">Instruction: </t>
    </r>
    <r>
      <rPr>
        <sz val="10"/>
        <color theme="1"/>
        <rFont val="Arial"/>
        <family val="2"/>
      </rPr>
      <t xml:space="preserve">Enter the as-built transportation data below for each Key Product. The evaluation section will auto-populate after all data has been entered. </t>
    </r>
  </si>
  <si>
    <t xml:space="preserve">If using Manual Calculations, to ensure comparability, the following transportation emissions factors shall be used: </t>
  </si>
  <si>
    <t>Truck: Light-Duty</t>
  </si>
  <si>
    <t>Truck: Medium- and Heavy-Duty</t>
  </si>
  <si>
    <t xml:space="preserve">Concrete mixing truck </t>
  </si>
  <si>
    <r>
      <t>GHG Emission Factor (kgCO</t>
    </r>
    <r>
      <rPr>
        <b/>
        <vertAlign val="subscript"/>
        <sz val="10"/>
        <rFont val="Arial"/>
        <family val="2"/>
      </rPr>
      <t>2</t>
    </r>
    <r>
      <rPr>
        <b/>
        <sz val="10"/>
        <rFont val="Arial"/>
        <family val="2"/>
      </rPr>
      <t>e/Unit)</t>
    </r>
  </si>
  <si>
    <r>
      <t>Reported As-Built Embodied Carbon (kgCO</t>
    </r>
    <r>
      <rPr>
        <vertAlign val="subscript"/>
        <sz val="10"/>
        <color theme="1"/>
        <rFont val="Arial"/>
        <family val="2"/>
      </rPr>
      <t>2</t>
    </r>
    <r>
      <rPr>
        <sz val="10"/>
        <color theme="1"/>
        <rFont val="Arial"/>
        <family val="2"/>
      </rPr>
      <t>e)</t>
    </r>
  </si>
  <si>
    <t xml:space="preserve">As-built reported emissions are less than designed emissions? </t>
  </si>
  <si>
    <t>e.g., Electricity Bill, GC, Sub</t>
  </si>
  <si>
    <t>e.g., GC tracking, Sub tracking</t>
  </si>
  <si>
    <t>e.g., Electricity Bill, GC tracking, Sub tracking</t>
  </si>
  <si>
    <t>e.g., Site to South Van Transfer Station</t>
  </si>
  <si>
    <r>
      <t>GHG Emissions Factor (kgCO</t>
    </r>
    <r>
      <rPr>
        <b/>
        <vertAlign val="subscript"/>
        <sz val="10"/>
        <rFont val="Arial"/>
        <family val="2"/>
      </rPr>
      <t>2</t>
    </r>
    <r>
      <rPr>
        <b/>
        <sz val="10"/>
        <rFont val="Arial"/>
        <family val="2"/>
      </rPr>
      <t>e/Unit)</t>
    </r>
  </si>
  <si>
    <r>
      <t>Emissions (kgCO</t>
    </r>
    <r>
      <rPr>
        <b/>
        <vertAlign val="subscript"/>
        <sz val="10"/>
        <rFont val="Arial"/>
        <family val="2"/>
      </rPr>
      <t>2</t>
    </r>
    <r>
      <rPr>
        <b/>
        <sz val="10"/>
        <rFont val="Arial"/>
        <family val="2"/>
      </rPr>
      <t>e)</t>
    </r>
  </si>
  <si>
    <t>← Expand/collapse rows for ILC details</t>
  </si>
  <si>
    <r>
      <t>Metric GHG Emission Factor (kgCO</t>
    </r>
    <r>
      <rPr>
        <b/>
        <vertAlign val="subscript"/>
        <sz val="10"/>
        <rFont val="Arial"/>
        <family val="2"/>
      </rPr>
      <t>2</t>
    </r>
    <r>
      <rPr>
        <b/>
        <sz val="10"/>
        <rFont val="Arial"/>
        <family val="2"/>
      </rPr>
      <t>e per km per Tonne)</t>
    </r>
  </si>
  <si>
    <r>
      <t>Metric GHG Emission Factor (kgCO</t>
    </r>
    <r>
      <rPr>
        <b/>
        <vertAlign val="subscript"/>
        <sz val="10"/>
        <rFont val="Arial"/>
        <family val="2"/>
      </rPr>
      <t>2</t>
    </r>
    <r>
      <rPr>
        <b/>
        <sz val="10"/>
        <rFont val="Arial"/>
        <family val="2"/>
      </rPr>
      <t>e per vehicle km)</t>
    </r>
  </si>
  <si>
    <t>Pursuing?</t>
  </si>
  <si>
    <t>Industry Leadership Credits Reporting</t>
  </si>
  <si>
    <t xml:space="preserve">Is this project Reporting Additional Information or Implementing Material Reuse Practices for Industry Leadership Credits? </t>
  </si>
  <si>
    <t xml:space="preserve">Provide clear photos showing the salvaged items removed from the building intact. </t>
  </si>
  <si>
    <t>Truck: Light-Duty (Vehicle-km)</t>
  </si>
  <si>
    <t>Truck: Medium- and Heavy-Duty (Vehicle-km)</t>
  </si>
  <si>
    <t>Existing building year built (YYYY)</t>
  </si>
  <si>
    <t>Site address to which building was relocated</t>
  </si>
  <si>
    <t>Year built (YYYY)</t>
  </si>
  <si>
    <t>Load of wood</t>
  </si>
  <si>
    <t>Name entity receiving the material, or describe how material is being reused</t>
  </si>
  <si>
    <t>Scale location</t>
  </si>
  <si>
    <t>Net weight (kg)</t>
  </si>
  <si>
    <t>E.g., 1</t>
  </si>
  <si>
    <t>E.g., Donated to Habitat for Humanity (H4H)</t>
  </si>
  <si>
    <t>Date on scale receipt (YYYY-MM-DD)</t>
  </si>
  <si>
    <t>E.g., 2025-07-28</t>
  </si>
  <si>
    <t xml:space="preserve">E.g., 123 Test St. </t>
  </si>
  <si>
    <t>E.g., 10,000</t>
  </si>
  <si>
    <t>E.g. Sold to Example Contractor Ltd.</t>
  </si>
  <si>
    <r>
      <t>Reporting in</t>
    </r>
    <r>
      <rPr>
        <i/>
        <sz val="10"/>
        <color theme="1"/>
        <rFont val="Arial"/>
        <family val="2"/>
      </rPr>
      <t>:</t>
    </r>
  </si>
  <si>
    <t>Path for reused lumber</t>
  </si>
  <si>
    <t>Salvage per floor area (kg / sq. ft.)</t>
  </si>
  <si>
    <t>Minimum salvage criteria limit (kg / sq. ft.)</t>
  </si>
  <si>
    <t>← Expand/collapse rows for Path 1 reporting</t>
  </si>
  <si>
    <t>← Expand/collapse rows for Path 2 reporting</t>
  </si>
  <si>
    <t>Minimum Reduction Required with ILCs</t>
  </si>
  <si>
    <t>Miminum Reduction Required with ILCs</t>
  </si>
  <si>
    <t>← Expand/collapse rows for short cycle biogenic carbon elements</t>
  </si>
  <si>
    <t>Normative LCA Reference Guide</t>
  </si>
  <si>
    <t>CoV Embodied Carbon Guidelines v1.0</t>
  </si>
  <si>
    <t>CoV Addendum v1.0 to the National wbLCA Practitioner's Guide</t>
  </si>
  <si>
    <t>Normative LCA Guidelines Followed</t>
  </si>
  <si>
    <r>
      <t xml:space="preserve">Total biogenic carbon stored in Short Cycle Biogenic Materials, </t>
    </r>
    <r>
      <rPr>
        <b/>
        <i/>
        <sz val="10"/>
        <color theme="1"/>
        <rFont val="Arial"/>
        <family val="2"/>
      </rPr>
      <t>BioC</t>
    </r>
    <r>
      <rPr>
        <b/>
        <i/>
        <vertAlign val="subscript"/>
        <sz val="10"/>
        <color theme="1"/>
        <rFont val="Arial"/>
        <family val="2"/>
      </rPr>
      <t>sc</t>
    </r>
    <r>
      <rPr>
        <b/>
        <vertAlign val="subscript"/>
        <sz val="10"/>
        <color theme="1"/>
        <rFont val="Arial"/>
        <family val="2"/>
      </rPr>
      <t xml:space="preserve"> </t>
    </r>
    <r>
      <rPr>
        <b/>
        <sz val="10"/>
        <color theme="1"/>
        <rFont val="Arial"/>
        <family val="2"/>
      </rPr>
      <t>(kgCO</t>
    </r>
    <r>
      <rPr>
        <b/>
        <vertAlign val="subscript"/>
        <sz val="10"/>
        <color theme="1"/>
        <rFont val="Arial"/>
        <family val="2"/>
      </rPr>
      <t>2</t>
    </r>
    <r>
      <rPr>
        <b/>
        <sz val="10"/>
        <color theme="1"/>
        <rFont val="Arial"/>
        <family val="2"/>
      </rPr>
      <t>e)</t>
    </r>
  </si>
  <si>
    <t xml:space="preserve">Industry Average Short Cycle Biogenic Materials </t>
  </si>
  <si>
    <t xml:space="preserve">Product-Specific Short Cycle Biogenic Materials </t>
  </si>
  <si>
    <t>f4l2kx</t>
  </si>
  <si>
    <t>Wood fiber board / R 2.7-inch / NAFA [Industry Avg | US &amp; CA]</t>
  </si>
  <si>
    <t>f53d9a</t>
  </si>
  <si>
    <t>a6h0p2</t>
  </si>
  <si>
    <t>cec541</t>
  </si>
  <si>
    <t>d92kl5</t>
  </si>
  <si>
    <t>Wood I joist / TJI 230/360 / 16" Depth / AWC &amp; CWC [Industry Avg | US &amp; CA]</t>
  </si>
  <si>
    <t>Wood I joist / TJI 230/360 / 14" Depth / AWC &amp; CWC [Industry Avg | US &amp; CA]</t>
  </si>
  <si>
    <t>Wood I joist / TJI 230/360 / 11-7/8" Depth / AWC &amp; CWC [Industry Avg | US &amp; CA]</t>
  </si>
  <si>
    <t>Wood I joist / TJI 230/360 / 9-1/2" Depth / AWC &amp; CWC [Industry Avg | US &amp; CA]</t>
  </si>
  <si>
    <t xml:space="preserve">Salvaged Wood I joist / TJI 230/360 / 14" Depth </t>
  </si>
  <si>
    <t xml:space="preserve">Salvaged Wood I joist / TJI 230/360 / 11-7/8" Depth </t>
  </si>
  <si>
    <t xml:space="preserve">Salvaged Wood I joist / TJI 230/360 / 9-1/2" Depth </t>
  </si>
  <si>
    <t>m² @ 11/16"</t>
  </si>
  <si>
    <t>m2 at 3/4"</t>
  </si>
  <si>
    <t>Optional Elements</t>
  </si>
  <si>
    <t xml:space="preserve">Short Cycle Biogenic Carbon Included? </t>
  </si>
  <si>
    <t>Tool Reported A-C with or w/o breakdown</t>
  </si>
  <si>
    <t xml:space="preserve">Optional Elements Reporting? </t>
  </si>
  <si>
    <t xml:space="preserve">Optional Elements Compliance? </t>
  </si>
  <si>
    <t>Date Reviewed (YYYY-MM-DD)</t>
  </si>
  <si>
    <r>
      <t>Target Design A4 Embodied Carbon (kgCO</t>
    </r>
    <r>
      <rPr>
        <b/>
        <vertAlign val="subscript"/>
        <sz val="10"/>
        <rFont val="Arial"/>
        <family val="2"/>
      </rPr>
      <t>2</t>
    </r>
    <r>
      <rPr>
        <b/>
        <sz val="10"/>
        <rFont val="Arial"/>
        <family val="2"/>
      </rPr>
      <t>e)</t>
    </r>
  </si>
  <si>
    <r>
      <t>Reported As-Built A4 Embodied Carbon (kgCO</t>
    </r>
    <r>
      <rPr>
        <b/>
        <vertAlign val="subscript"/>
        <sz val="10"/>
        <rFont val="Arial"/>
        <family val="2"/>
      </rPr>
      <t>2</t>
    </r>
    <r>
      <rPr>
        <b/>
        <sz val="10"/>
        <rFont val="Arial"/>
        <family val="2"/>
      </rPr>
      <t>e)</t>
    </r>
  </si>
  <si>
    <t>Date Reviewed by Contractor (YYYY-MM-DD)</t>
  </si>
  <si>
    <t>Date Reviewed by Supplier (YYYY-MM-DD)</t>
  </si>
  <si>
    <r>
      <t>Volume (m</t>
    </r>
    <r>
      <rPr>
        <b/>
        <vertAlign val="superscript"/>
        <sz val="10"/>
        <rFont val="Arial"/>
        <family val="2"/>
      </rPr>
      <t>3</t>
    </r>
    <r>
      <rPr>
        <b/>
        <sz val="10"/>
        <rFont val="Arial"/>
        <family val="2"/>
      </rPr>
      <t>)</t>
    </r>
  </si>
  <si>
    <r>
      <t>Embodied Carbon (kgCO</t>
    </r>
    <r>
      <rPr>
        <b/>
        <vertAlign val="subscript"/>
        <sz val="10"/>
        <rFont val="Arial"/>
        <family val="2"/>
      </rPr>
      <t>2</t>
    </r>
    <r>
      <rPr>
        <b/>
        <sz val="10"/>
        <rFont val="Arial"/>
        <family val="2"/>
      </rPr>
      <t>e)</t>
    </r>
  </si>
  <si>
    <r>
      <t>Project GFA (m</t>
    </r>
    <r>
      <rPr>
        <b/>
        <vertAlign val="superscript"/>
        <sz val="10"/>
        <rFont val="Arial"/>
        <family val="2"/>
      </rPr>
      <t>2</t>
    </r>
    <r>
      <rPr>
        <b/>
        <sz val="10"/>
        <rFont val="Arial"/>
        <family val="2"/>
      </rPr>
      <t>)</t>
    </r>
  </si>
  <si>
    <t>e.g., 300</t>
  </si>
  <si>
    <t>e.g., 220</t>
  </si>
  <si>
    <t>e.g., 10</t>
  </si>
  <si>
    <t>e.g., 660</t>
  </si>
  <si>
    <t>Other, including concrete cantilevered columns, or multiple concrete systems including all-concrete dual systems</t>
  </si>
  <si>
    <t>Select this if the building does not have a podium (see definitions below).</t>
  </si>
  <si>
    <t>% Reduction Compared to BC Baseline</t>
  </si>
  <si>
    <t>One Click LCA - Carbon Designer</t>
  </si>
  <si>
    <t xml:space="preserve">One Click LCA </t>
  </si>
  <si>
    <t xml:space="preserve">C. Scale </t>
  </si>
  <si>
    <t>TallyLCA</t>
  </si>
  <si>
    <t>bimCAT</t>
  </si>
  <si>
    <t>BEAM*</t>
  </si>
  <si>
    <r>
      <t>■ BEAM is only accepted for new buildngs and additions with a GFA not exceeding 1,800 m</t>
    </r>
    <r>
      <rPr>
        <vertAlign val="superscript"/>
        <sz val="11"/>
        <color theme="5"/>
        <rFont val="Calibri"/>
        <family val="2"/>
        <scheme val="minor"/>
      </rPr>
      <t>2</t>
    </r>
    <r>
      <rPr>
        <sz val="11"/>
        <color theme="5"/>
        <rFont val="Calibri"/>
        <family val="2"/>
        <scheme val="minor"/>
      </rPr>
      <t>. 
■ The BEAM reports Net Emissions that includes Short Cycle and Long Cycle Biogenic Carbon storage. For compliance, the Gross Emissions results from BEAM must be used, which exclude Short Cycle and Long Cycle Biogenic Carbon storage. 
■  Short Cycle Biogenic Carbon may optionally be calculated and included for compliance assessment in sheet '6. Carbon Storage'.</t>
    </r>
  </si>
  <si>
    <t xml:space="preserve">Tool display messages: </t>
  </si>
  <si>
    <t>e.g., 1,426</t>
  </si>
  <si>
    <t>Briefly describe the transportation route for each Key Product. Include the rational for the transportation tracking cut-off, such as supply chain visibility, confidentiality concerns etc.</t>
  </si>
  <si>
    <r>
      <rPr>
        <b/>
        <sz val="10"/>
        <color theme="1"/>
        <rFont val="Arial"/>
        <family val="2"/>
      </rPr>
      <t>Instruction:</t>
    </r>
    <r>
      <rPr>
        <sz val="10"/>
        <color theme="1"/>
        <rFont val="Arial"/>
        <family val="2"/>
      </rPr>
      <t xml:space="preserve"> Indicate the modules committed to be reported. Complete the reporting requirements checklist. </t>
    </r>
  </si>
  <si>
    <t>As-Built reporting of construction emissions data is preferred to be provided using this form.</t>
  </si>
  <si>
    <t xml:space="preserve">The base or lower portion of a structure, often distinguished by a different material and structural system than the upper floors. </t>
  </si>
  <si>
    <t>Reports A4</t>
  </si>
  <si>
    <t>Reports A5</t>
  </si>
  <si>
    <t>Reports B1-B5</t>
  </si>
  <si>
    <t>Reports C1-C4</t>
  </si>
  <si>
    <t>Test</t>
  </si>
  <si>
    <t>Transport Distance - One Trip (km)</t>
  </si>
  <si>
    <t>Weight - All Trips
(Tonne)</t>
  </si>
  <si>
    <t>e.g., 81</t>
  </si>
  <si>
    <t xml:space="preserve">Pursuing Industry Leadership Credits? </t>
  </si>
  <si>
    <t>6. Carbon Storage</t>
  </si>
  <si>
    <t>7. ILCs - Design</t>
  </si>
  <si>
    <t>8. ILCs - As-Built</t>
  </si>
  <si>
    <t>Report design-stage information for Industry Leadership Credits (ILCs)</t>
  </si>
  <si>
    <t>Report as-built information for Industry Leadership Credits (ILCs)</t>
  </si>
  <si>
    <t>9. Definitions</t>
  </si>
  <si>
    <t>10. Version Tracker</t>
  </si>
  <si>
    <t>■ See Section 3.3 and Table 4 in Appendix B.2 of the National wbLCA Practitioner's Guide for a detailed list of required and optional elements and sub-element for compliance with VBBL.</t>
  </si>
  <si>
    <t>In the "Reporting" column below, specify the additional elements included in the embodied carbon reporting.
Industry Leadership Credits may be claimed. See sheet '7. ILCs - Design'.</t>
  </si>
  <si>
    <t>Additional details may be provided in a supporting report, as described in Section 6.2 (d) of the National wbLCA Practitioner's Guide.</t>
  </si>
  <si>
    <r>
      <t>Project structure and enclosure embodied carbon (kgCO</t>
    </r>
    <r>
      <rPr>
        <vertAlign val="subscript"/>
        <sz val="11"/>
        <rFont val="Calibri"/>
        <family val="2"/>
        <scheme val="minor"/>
      </rPr>
      <t>2</t>
    </r>
    <r>
      <rPr>
        <sz val="11"/>
        <rFont val="Calibri"/>
        <family val="2"/>
        <scheme val="minor"/>
      </rPr>
      <t>e)</t>
    </r>
  </si>
  <si>
    <t>Lumber Category</t>
  </si>
  <si>
    <t>Sheet Goods</t>
  </si>
  <si>
    <t>Dimensional Lumber</t>
  </si>
  <si>
    <t>Confirm that the latest version of the tool us being used</t>
  </si>
  <si>
    <t>Confirm that the as-built architectural drawings indicate on the title page that the project is designed for disassembly.</t>
  </si>
  <si>
    <r>
      <rPr>
        <b/>
        <sz val="10"/>
        <color theme="1"/>
        <rFont val="Arial"/>
        <family val="2"/>
      </rPr>
      <t>Instructions:</t>
    </r>
    <r>
      <rPr>
        <sz val="10"/>
        <color theme="1"/>
        <rFont val="Arial"/>
        <family val="2"/>
      </rPr>
      <t xml:space="preserve"> Complete all requirements per the reporting requirements checklist below. </t>
    </r>
  </si>
  <si>
    <t xml:space="preserve">Mineral Wool Insulation </t>
  </si>
  <si>
    <t>Rebar</t>
  </si>
  <si>
    <t>5/8" Type X Gypsum Wall Board</t>
  </si>
  <si>
    <t xml:space="preserve">Softwood Lumber, kiln dried </t>
  </si>
  <si>
    <t xml:space="preserve">123 Test St. </t>
  </si>
  <si>
    <t xml:space="preserve">Test Co. </t>
  </si>
  <si>
    <t>test @ co.com</t>
  </si>
  <si>
    <t>Example text: 
Required full structural assessment and reinforcement prior to move.
Access constraints included narrow streets, overhead wires, and tight turning radii.
Transport truck routing required coordination with city traffic engineers and BC Hydro.
Oversize load permits obtained through City of Vancouver and BC Gov.
Temporary removal of street signage and trimming of vegetation coordinated with municipal crews.
Move scheduled during low-traffic hours to minimize disruption and allow safe passage.</t>
  </si>
  <si>
    <t>Example text: 
Limited space on-site delayed sorting; temporary staging area created to streamline salvage workflow.
Salvage required manual deconstruction methods to preserve wood integrity and avoid damage.
Some steel sections were welded in place, requiring torch cutting and specialized equipment for safe removal.
Difficulty locating a storage facility with appropriate load-bearing capacity and indoor space to prevent corrosion.</t>
  </si>
  <si>
    <t>Donated to Habitat for Humanity (H4H)</t>
  </si>
  <si>
    <t>123 Test</t>
  </si>
  <si>
    <t>Sold to Example Contractor Ltd.</t>
  </si>
  <si>
    <t xml:space="preserve"> Sold to Example Contractor Ltd.</t>
  </si>
  <si>
    <r>
      <t>Concrete Carbon Project Budget (kgCO</t>
    </r>
    <r>
      <rPr>
        <b/>
        <vertAlign val="subscript"/>
        <sz val="11"/>
        <rFont val="Calibri"/>
        <family val="2"/>
        <scheme val="minor"/>
      </rPr>
      <t>2</t>
    </r>
    <r>
      <rPr>
        <b/>
        <sz val="11"/>
        <rFont val="Calibri"/>
        <family val="2"/>
        <scheme val="minor"/>
      </rPr>
      <t>e)</t>
    </r>
  </si>
  <si>
    <t xml:space="preserve">Specified Strength (MPa) </t>
  </si>
  <si>
    <t>56 day curing time, foundations</t>
  </si>
  <si>
    <t xml:space="preserve">Provide narrative here: </t>
  </si>
  <si>
    <t xml:space="preserve">Provide a narrative describing how the analysis was completed, including tool choice, primary data gathering, and results interpretation. Detail the challenges and how they were overcome. </t>
  </si>
  <si>
    <t>e.g., 2026-08-08</t>
  </si>
  <si>
    <t>Date (YYYY-MM)</t>
  </si>
  <si>
    <t>Number of Trips Made (same date range &amp; destination)</t>
  </si>
  <si>
    <t>CAGBC ZCB v2</t>
  </si>
  <si>
    <t>CAGBC ZCB v3</t>
  </si>
  <si>
    <t>CAGBC ZCB v4</t>
  </si>
  <si>
    <t>LEED V5 MRp2</t>
  </si>
  <si>
    <t>LEED V5 MRp2 &amp; MRc2</t>
  </si>
  <si>
    <t xml:space="preserve">Commit to track any electricity, natural gas, or other fuels consumption on the construction site, which may require sub-metering. </t>
  </si>
  <si>
    <t xml:space="preserve">Building Life Time (Years) </t>
  </si>
  <si>
    <t>The contractor has substantially completed the construction contract in accordance with the construction documents.</t>
  </si>
  <si>
    <t xml:space="preserve">■ If an "Other" software tool is used, it is required to confirm its acceptability with the City prior to submitting the Embodied Carbon Design Report. You can contact green.buildings@vancouver.ca with questions. </t>
  </si>
  <si>
    <r>
      <t xml:space="preserve">a.i </t>
    </r>
    <r>
      <rPr>
        <b/>
        <sz val="11"/>
        <color theme="0"/>
        <rFont val="Gotham-Book"/>
      </rPr>
      <t>Report Optional Building Element Scope</t>
    </r>
    <r>
      <rPr>
        <b/>
        <sz val="11"/>
        <color theme="0"/>
        <rFont val="Arial"/>
        <family val="2"/>
      </rPr>
      <t xml:space="preserve"> (Max 5%)</t>
    </r>
  </si>
  <si>
    <r>
      <t xml:space="preserve">a.ii </t>
    </r>
    <r>
      <rPr>
        <b/>
        <sz val="11"/>
        <color theme="0"/>
        <rFont val="Gotham-Book"/>
      </rPr>
      <t>Report As-Built Concrete Data</t>
    </r>
    <r>
      <rPr>
        <b/>
        <sz val="11"/>
        <color theme="0"/>
        <rFont val="Arial"/>
        <family val="2"/>
      </rPr>
      <t xml:space="preserve"> (Max 3%)</t>
    </r>
  </si>
  <si>
    <r>
      <t xml:space="preserve">a.iii </t>
    </r>
    <r>
      <rPr>
        <b/>
        <sz val="11"/>
        <color theme="0"/>
        <rFont val="Gotham-Book"/>
      </rPr>
      <t>Report As-Built Transportation Data</t>
    </r>
    <r>
      <rPr>
        <b/>
        <sz val="11"/>
        <color theme="0"/>
        <rFont val="Arial"/>
        <family val="2"/>
      </rPr>
      <t xml:space="preserve"> (Max 2%)</t>
    </r>
  </si>
  <si>
    <r>
      <t xml:space="preserve">a.iv </t>
    </r>
    <r>
      <rPr>
        <b/>
        <sz val="11"/>
        <color theme="0"/>
        <rFont val="Gotham-Book"/>
      </rPr>
      <t xml:space="preserve">Report Project-specific Construction Process Data </t>
    </r>
    <r>
      <rPr>
        <b/>
        <sz val="11"/>
        <color theme="0"/>
        <rFont val="Arial"/>
        <family val="2"/>
      </rPr>
      <t>(Max 5%)</t>
    </r>
  </si>
  <si>
    <r>
      <t xml:space="preserve">b.i </t>
    </r>
    <r>
      <rPr>
        <b/>
        <sz val="11"/>
        <color theme="0"/>
        <rFont val="Gotham-Book"/>
      </rPr>
      <t xml:space="preserve">Relocate Existing Building </t>
    </r>
    <r>
      <rPr>
        <b/>
        <sz val="11"/>
        <color theme="0"/>
        <rFont val="Arial"/>
        <family val="2"/>
      </rPr>
      <t>(Max 5%)</t>
    </r>
  </si>
  <si>
    <r>
      <t xml:space="preserve">b.ii </t>
    </r>
    <r>
      <rPr>
        <b/>
        <sz val="11"/>
        <color theme="0"/>
        <rFont val="Gotham-Book"/>
      </rPr>
      <t>Salvage Materials from Project Site</t>
    </r>
    <r>
      <rPr>
        <b/>
        <sz val="11"/>
        <color theme="0"/>
        <rFont val="Arial"/>
        <family val="2"/>
      </rPr>
      <t xml:space="preserve"> (Max 5%)</t>
    </r>
  </si>
  <si>
    <r>
      <t>b.iii</t>
    </r>
    <r>
      <rPr>
        <b/>
        <sz val="11"/>
        <color theme="0"/>
        <rFont val="Times New Roman"/>
        <family val="1"/>
      </rPr>
      <t xml:space="preserve"> </t>
    </r>
    <r>
      <rPr>
        <b/>
        <sz val="11"/>
        <color theme="0"/>
        <rFont val="Gotham-Book"/>
      </rPr>
      <t>Design for Disassembly</t>
    </r>
    <r>
      <rPr>
        <b/>
        <sz val="11"/>
        <color theme="0"/>
        <rFont val="Arial"/>
        <family val="2"/>
      </rPr>
      <t xml:space="preserve"> (Max 5%)</t>
    </r>
  </si>
  <si>
    <t>Applicable Rezoning Application Version</t>
  </si>
  <si>
    <t>Sheets Overview</t>
  </si>
  <si>
    <t>Sheets</t>
  </si>
  <si>
    <t>(The current sheet) Provides an overview of this design report</t>
  </si>
  <si>
    <t>Definition of terms and description of the structural systems in "Project Info" sheet</t>
  </si>
  <si>
    <t>■ For additional submission requirements see Section 6 of the City of Vancouver Addendum.
■ This report shall be submitted in both Excel and PDF formats.
■ Complete all fields that apply, using information that represents the current stage of design. For the City of Vancouver, submissions are required at Rezoning Permit, Building Permit, and possibly at Occupancy Permit if Industry Leadership Credits are pursued. 
■ For fields that do not apply or for which there is no information available (e.g. at Rezoning Permit), leave them blank or enter "N/A".
■ The row heights can be changed if more space is needed in any cell. Rows can be added to Industry Leadership Credit (ILC) sheets. 
■ For questions relating to this design report please email green.buildings@vancouver.ca.</t>
  </si>
  <si>
    <t>The user is encouraged to fill in the sheets in the following order, as answers to some questions will impact the following sections or sheets:</t>
  </si>
  <si>
    <t>■ The definition of terms and systems from the sheet "Project Info" are provided below.</t>
  </si>
  <si>
    <t>Error messages for Cell D27 sheet 4. Results &amp; Compliance</t>
  </si>
  <si>
    <r>
      <rPr>
        <sz val="9"/>
        <color theme="1" tint="0.34998626667073579"/>
        <rFont val="Arial"/>
        <family val="2"/>
      </rPr>
      <t xml:space="preserve">(Earthwork) </t>
    </r>
    <r>
      <rPr>
        <sz val="10"/>
        <color theme="1"/>
        <rFont val="Arial"/>
        <family val="2"/>
      </rPr>
      <t>Site Preparation</t>
    </r>
  </si>
  <si>
    <r>
      <rPr>
        <sz val="9"/>
        <color theme="1" tint="0.34998626667073579"/>
        <rFont val="Arial"/>
        <family val="2"/>
      </rPr>
      <t xml:space="preserve">(Landscaping) </t>
    </r>
    <r>
      <rPr>
        <sz val="10"/>
        <color theme="1"/>
        <rFont val="Arial"/>
        <family val="2"/>
      </rPr>
      <t>Site Improvements</t>
    </r>
  </si>
  <si>
    <r>
      <rPr>
        <sz val="9"/>
        <color theme="1" tint="0.34998626667073579"/>
        <rFont val="Arial"/>
        <family val="2"/>
      </rPr>
      <t xml:space="preserve">(except Landscaping) </t>
    </r>
    <r>
      <rPr>
        <sz val="10"/>
        <color theme="1"/>
        <rFont val="Arial"/>
        <family val="2"/>
      </rPr>
      <t>Site Improvements</t>
    </r>
  </si>
  <si>
    <r>
      <t xml:space="preserve">Short Cycle Biogenic Carbon </t>
    </r>
    <r>
      <rPr>
        <i/>
        <sz val="10"/>
        <color theme="1" tint="0.34998626667073579"/>
        <rFont val="Arial"/>
        <family val="2"/>
      </rPr>
      <t>(sheet '6. Carbon Storage')</t>
    </r>
  </si>
  <si>
    <r>
      <t>Biogenic Carbon</t>
    </r>
    <r>
      <rPr>
        <i/>
        <sz val="10"/>
        <color theme="1" tint="0.34998626667073579"/>
        <rFont val="Arial"/>
        <family val="2"/>
      </rPr>
      <t xml:space="preserve"> (software tool)</t>
    </r>
  </si>
  <si>
    <r>
      <t>Concrete Carbonation</t>
    </r>
    <r>
      <rPr>
        <i/>
        <sz val="10"/>
        <color theme="1" tint="0.34998626667073579"/>
        <rFont val="Arial"/>
        <family val="2"/>
      </rPr>
      <t xml:space="preserve"> (software tool)</t>
    </r>
  </si>
  <si>
    <t xml:space="preserve">Carbon storage from Short Cycle Biogenic Carbon materials may be included for compliance. Biogenic carbon and concrete carbonation from the software tool used may be reported in the sheet '6. Carbon Storage' and shall not be included in the compliance assessment. </t>
  </si>
  <si>
    <t xml:space="preserve">Is this project pursuing Industry Leadership Credits? </t>
  </si>
  <si>
    <t xml:space="preserve">Error 11: Provide all required Industry Leadership Credit information in sheet "7. ILCs - Design". </t>
  </si>
  <si>
    <t>Error 02: Confirm that the latest software tool version is used in sheet "EC Modelling Info"</t>
  </si>
  <si>
    <t xml:space="preserve">Error 01: Specify the project's gross floor area (excluding parkade) in sheet "Project Info". </t>
  </si>
  <si>
    <t xml:space="preserve">Latest Version of Software used? </t>
  </si>
  <si>
    <t>Error 03: Confirm that the latest version of the tool us being used in sheet "EC Modelling Info"</t>
  </si>
  <si>
    <r>
      <rPr>
        <b/>
        <sz val="10"/>
        <color theme="1" tint="0.499984740745262"/>
        <rFont val="Arial"/>
        <family val="2"/>
      </rPr>
      <t>Embodied Carbon Intensity 
based on GFA</t>
    </r>
    <r>
      <rPr>
        <sz val="10"/>
        <color theme="1" tint="0.499984740745262"/>
        <rFont val="Arial"/>
        <family val="2"/>
      </rPr>
      <t xml:space="preserve">
(kg CO</t>
    </r>
    <r>
      <rPr>
        <vertAlign val="subscript"/>
        <sz val="11"/>
        <color theme="1" tint="0.499984740745262"/>
        <rFont val="Calibri"/>
        <family val="2"/>
        <scheme val="minor"/>
      </rPr>
      <t>2</t>
    </r>
    <r>
      <rPr>
        <sz val="11"/>
        <color theme="1" tint="0.499984740745262"/>
        <rFont val="Calibri"/>
        <family val="2"/>
        <scheme val="minor"/>
      </rPr>
      <t>e/m</t>
    </r>
    <r>
      <rPr>
        <vertAlign val="superscript"/>
        <sz val="11"/>
        <color theme="1" tint="0.499984740745262"/>
        <rFont val="Calibri"/>
        <family val="2"/>
        <scheme val="minor"/>
      </rPr>
      <t>2</t>
    </r>
    <r>
      <rPr>
        <sz val="11"/>
        <color theme="1" tint="0.499984740745262"/>
        <rFont val="Calibri"/>
        <family val="2"/>
        <scheme val="minor"/>
      </rPr>
      <t>)</t>
    </r>
  </si>
  <si>
    <t>Intensity Limit Path</t>
  </si>
  <si>
    <t xml:space="preserve">Error 04: Specify the compliance path in cell #D18 of sheet '3. Modelling Info'. </t>
  </si>
  <si>
    <t>If "Baseline Path" is selected, the user can specify in the "Compliance" column below, whether any of the optional elements are included in compliance assessment.</t>
  </si>
  <si>
    <t>■ Use the form below to indicate the optional scope included in embodied carbon reporting and compliance with the City of Vancouver's requirements.
■ Unless specified in "Reporting" and/or "Compliance" columns below as "Yes", all the optional scopes will be assumed to be excluded from the embodied carbon reporting and compliance.
■ Reported emissions and benefits from module D, biogenic carbon, and concrete carbonation can be reported. However, these should be reported separately and are excluded from the results used for demonstrating compliance with the City of Vancouver's requirements. See "Carbon Storage" sheet for more details, including Short Cycle Biogenic Carbon.
■ All optional scopes are excluded from the compliance, if the "Intensity Limit Path" is selected.
■ Optional scopes are included in the results used for compliance, if the "Baseline Path"  is selected in sheet "Results &amp; Compliance" and if they are indicated to be included in the "Compliance" column below.</t>
  </si>
  <si>
    <t>ECI (Limit)</t>
  </si>
  <si>
    <t>* One Click LCA &gt; Life Cycle Carbon - North America (Metric or Imperial units)</t>
  </si>
  <si>
    <t>One Click LCA &gt; LCA for LEED, Canada (TRACI)</t>
  </si>
  <si>
    <t>* Athena &gt; Bill of Materials by Assembly</t>
  </si>
  <si>
    <t>* EC3 &gt; Policy Report (reported GWP).xlsx</t>
  </si>
  <si>
    <t>* BEAM &gt; Download Google Sheet as Excel (.xlsx)</t>
  </si>
  <si>
    <t xml:space="preserve">Reporting Carbon Storage from Tools </t>
  </si>
  <si>
    <t xml:space="preserve">Ony elements with 'Yes' under Compliance column in Optional Elements section in sheet '3. EC Modelling Info' are permitted . </t>
  </si>
  <si>
    <r>
      <t xml:space="preserve">Total biogenic carbon stored in Short Cycle Biogenic Materials, </t>
    </r>
    <r>
      <rPr>
        <b/>
        <i/>
        <sz val="10"/>
        <color theme="1"/>
        <rFont val="Arial"/>
        <family val="2"/>
      </rPr>
      <t>BioC</t>
    </r>
    <r>
      <rPr>
        <b/>
        <i/>
        <vertAlign val="subscript"/>
        <sz val="10"/>
        <color theme="1"/>
        <rFont val="Arial"/>
        <family val="2"/>
      </rPr>
      <t>sc, per GFA</t>
    </r>
    <r>
      <rPr>
        <b/>
        <vertAlign val="subscript"/>
        <sz val="10"/>
        <color theme="1"/>
        <rFont val="Arial"/>
        <family val="2"/>
      </rPr>
      <t xml:space="preserve"> </t>
    </r>
    <r>
      <rPr>
        <b/>
        <sz val="10"/>
        <color theme="1"/>
        <rFont val="Arial"/>
        <family val="2"/>
      </rPr>
      <t>(kgCO</t>
    </r>
    <r>
      <rPr>
        <b/>
        <vertAlign val="subscript"/>
        <sz val="10"/>
        <color theme="1"/>
        <rFont val="Arial"/>
        <family val="2"/>
      </rPr>
      <t>2</t>
    </r>
    <r>
      <rPr>
        <b/>
        <sz val="10"/>
        <color theme="1"/>
        <rFont val="Arial"/>
        <family val="2"/>
      </rPr>
      <t>e/m</t>
    </r>
    <r>
      <rPr>
        <b/>
        <vertAlign val="superscript"/>
        <sz val="10"/>
        <color theme="1"/>
        <rFont val="Arial"/>
        <family val="2"/>
      </rPr>
      <t>2</t>
    </r>
    <r>
      <rPr>
        <b/>
        <sz val="10"/>
        <color theme="1"/>
        <rFont val="Arial"/>
        <family val="2"/>
      </rPr>
      <t>)</t>
    </r>
  </si>
  <si>
    <r>
      <t>Built Floor Area (m</t>
    </r>
    <r>
      <rPr>
        <vertAlign val="superscript"/>
        <sz val="10"/>
        <color theme="1"/>
        <rFont val="Arial"/>
        <family val="2"/>
      </rPr>
      <t>2</t>
    </r>
    <r>
      <rPr>
        <sz val="10"/>
        <color theme="1"/>
        <rFont val="Arial"/>
        <family val="2"/>
      </rPr>
      <t>)</t>
    </r>
  </si>
  <si>
    <t>Error messages for ILCs if incomplete data</t>
  </si>
  <si>
    <t>Fill in all required info in white cells to receive ILC</t>
  </si>
  <si>
    <r>
      <rPr>
        <b/>
        <sz val="10"/>
        <rFont val="Arial"/>
        <family val="2"/>
      </rPr>
      <t>Instruction:</t>
    </r>
    <r>
      <rPr>
        <sz val="10"/>
        <rFont val="Arial"/>
        <family val="2"/>
      </rPr>
      <t xml:space="preserve"> Provide all information in the white cells below and complete the reporting requirements checklist. </t>
    </r>
  </si>
  <si>
    <r>
      <rPr>
        <b/>
        <sz val="10"/>
        <color theme="1"/>
        <rFont val="Arial"/>
        <family val="2"/>
      </rPr>
      <t>Instruction:</t>
    </r>
    <r>
      <rPr>
        <sz val="10"/>
        <color theme="1"/>
        <rFont val="Arial"/>
        <family val="2"/>
      </rPr>
      <t xml:space="preserve"> Provide all information in the white cells below, indicate which Path(s) will are being pursued, and complete the reporting requirements checklist. Note that, to be eligible for these credits the project must be using the City’s Certified Professional Program. https://vancouver.ca/home-propertydevelopment/certified-professional-program.aspx</t>
    </r>
  </si>
  <si>
    <t>Total ILCs for a.iv Report Project-specific Construction Process Data 
(Max 5%)</t>
  </si>
  <si>
    <t>Additional details may be provided in a supporting report, as described in Section 6.2(a).iii of the National Guide.</t>
  </si>
  <si>
    <r>
      <rPr>
        <b/>
        <sz val="10"/>
        <color theme="1"/>
        <rFont val="Arial"/>
        <family val="2"/>
      </rPr>
      <t xml:space="preserve">Instruction: </t>
    </r>
    <r>
      <rPr>
        <sz val="10"/>
        <color theme="1"/>
        <rFont val="Arial"/>
        <family val="2"/>
      </rPr>
      <t xml:space="preserve">Identify the credit option(s) being pursued. Enter the required information. Confirm the reporting requirements in white cells are met by checking them off. The required building element scope of assessment the building structure and enclosure. </t>
    </r>
  </si>
  <si>
    <t xml:space="preserve">Building element scope to be reported for concrete elements: </t>
  </si>
  <si>
    <t>Structure &amp; Enclosure</t>
  </si>
  <si>
    <t>Concerte Budget Reporting</t>
  </si>
  <si>
    <t xml:space="preserve">Report the summed volume of all concrete elements from the software tool: </t>
  </si>
  <si>
    <t xml:space="preserve">Report the summed GWP for modules A1-A3 of all concrete elements from the software tool: </t>
  </si>
  <si>
    <t>Uncertainty Factors</t>
  </si>
  <si>
    <r>
      <t xml:space="preserve">Provide the </t>
    </r>
    <r>
      <rPr>
        <b/>
        <sz val="10"/>
        <color theme="1"/>
        <rFont val="Arial"/>
        <family val="2"/>
      </rPr>
      <t>contingency factor</t>
    </r>
    <r>
      <rPr>
        <sz val="10"/>
        <color theme="1"/>
        <rFont val="Arial"/>
        <family val="2"/>
      </rPr>
      <t xml:space="preserve"> (default 6%) to account for uncertainties post-design: </t>
    </r>
  </si>
  <si>
    <t xml:space="preserve">Provide comments on uncertainty considerations for each of the three factors in the provided space below. </t>
  </si>
  <si>
    <t xml:space="preserve">Concrete volumes and mix specifications can change between the design and as-built stage due to a number of factors including weather, waste, project schedule, the use of high-early mixes, etc. For this credit, it is required to include an uncertainty factor to allow for these differences between design and as-built. Refer to RICs WLCA standard, 2nd edition (2024), page 55 for additional guidance on addressing uncertainty. </t>
  </si>
  <si>
    <r>
      <t xml:space="preserve">Provide the </t>
    </r>
    <r>
      <rPr>
        <b/>
        <sz val="10"/>
        <color theme="1"/>
        <rFont val="Arial"/>
        <family val="2"/>
      </rPr>
      <t>carbon data uncertainty</t>
    </r>
    <r>
      <rPr>
        <sz val="10"/>
        <color theme="1"/>
        <rFont val="Arial"/>
        <family val="2"/>
      </rPr>
      <t xml:space="preserve"> </t>
    </r>
    <r>
      <rPr>
        <b/>
        <sz val="10"/>
        <color theme="1"/>
        <rFont val="Arial"/>
        <family val="2"/>
      </rPr>
      <t>factor</t>
    </r>
    <r>
      <rPr>
        <sz val="10"/>
        <color theme="1"/>
        <rFont val="Arial"/>
        <family val="2"/>
      </rPr>
      <t xml:space="preserve"> (default 3% when industry wide EPDs are used) to account for the representativeness of the carbon data used: </t>
    </r>
  </si>
  <si>
    <r>
      <t xml:space="preserve">Provide the </t>
    </r>
    <r>
      <rPr>
        <b/>
        <sz val="10"/>
        <color theme="1"/>
        <rFont val="Arial"/>
        <family val="2"/>
      </rPr>
      <t xml:space="preserve">quantities uncertainty factor </t>
    </r>
    <r>
      <rPr>
        <sz val="10"/>
        <color theme="1"/>
        <rFont val="Arial"/>
        <family val="2"/>
      </rPr>
      <t xml:space="preserve">factor (default 2%) to account for the expected accuracy of material quantities data: </t>
    </r>
  </si>
  <si>
    <t xml:space="preserve">Commit to providing as-built concrete volumes in sheet '8. As-Built ILC Reporting' and to resubmitting at OP. </t>
  </si>
  <si>
    <t xml:space="preserve">A 6% contingency factor was included to represent unknowns such as weather and other uncertainties. A 3% carbon data uncertainty adjustment factor was added to represent uncertainty in construction schedule and potential high-early mixes and uncertainty of the supplier. A 2% quantities uncertainty factor was used due to difference between the BIM model and actual quantities poured, including differences in waste quantities.  </t>
  </si>
  <si>
    <r>
      <rPr>
        <b/>
        <sz val="10"/>
        <color theme="1"/>
        <rFont val="Arial"/>
        <family val="2"/>
      </rPr>
      <t>Instruction:</t>
    </r>
    <r>
      <rPr>
        <sz val="10"/>
        <color theme="1"/>
        <rFont val="Arial"/>
        <family val="2"/>
      </rPr>
      <t xml:space="preserve"> Enter the optional elements being reported in sheet '3. EC Modelling Info'. Enter the required information in the white cells. Confirm the reporting requirements are met by checking them off. 
■ Note that using the compliance path 'Baseline, including optional elements' does not proclude receiving credit for reporting optional elements here.
■ See 'Addition to Table 4' in Appendix I to the City of Vancouver Addendum to the National wbLCA Practitioner's Guidefor minimum sub-element scope for the credit.  </t>
    </r>
  </si>
  <si>
    <r>
      <t>Total A-C Optional Building Element Embodied Carbon (kgCO</t>
    </r>
    <r>
      <rPr>
        <b/>
        <vertAlign val="subscript"/>
        <sz val="10"/>
        <color theme="1"/>
        <rFont val="Arial"/>
        <family val="2"/>
      </rPr>
      <t>2</t>
    </r>
    <r>
      <rPr>
        <b/>
        <sz val="10"/>
        <color theme="1"/>
        <rFont val="Arial"/>
        <family val="2"/>
      </rPr>
      <t>e)</t>
    </r>
  </si>
  <si>
    <t xml:space="preserve">Commit to track as-built transportation (A4) embodied carbon emissions in construction. </t>
  </si>
  <si>
    <t xml:space="preserve">Commit to completing sheet '8. ILCs - As-Built' and resubmit ECDR at OP. </t>
  </si>
  <si>
    <t xml:space="preserve">Commit to providing the as-built embodied carbon intensity of each concrete mix used based on product specific Type III EPDs in sheet '8. ILCs - As-Built' and resubmitting at OP. Representative EPDs are required for all mixes, including 'high-early' mixes. </t>
  </si>
  <si>
    <t>Commit to completing the portions of sheet  '8. ILCs - As-Built' related to this credit and resubmitting at OP.</t>
  </si>
  <si>
    <t>Relocation Company Representative Phone Number:</t>
  </si>
  <si>
    <t>604-123-####</t>
  </si>
  <si>
    <t xml:space="preserve">Optionally, provide building relocation narrative here. </t>
  </si>
  <si>
    <t xml:space="preserve">Rows can be added to this table. See instructions in row 9. </t>
  </si>
  <si>
    <t xml:space="preserve">■ All data inputs on this sheet are optional for compliance. If Industry Leadership Credits were included for compliance at Building Permit then white cells below are required to be filled-out. For as-built reporting, only this sheet '8. ILCs - As-Built' must be updated, not the entire ECDR.
■ As-built reporting requirements will be visible based on the ILC's that were pursued at the Design stage. 
■ This sheet allows users to add new rows as needed to accommodate additional entries. However, please note that formulas are not automatically copied to newly inserted rows. After adding a row, you must manually copy the formulas from the previous row into the new one. Failure to do so may result in incomplete calculations or errors in the data summary. For best results, right-click an existing row and select "insert Copied Cells" above the last row. </t>
  </si>
  <si>
    <t>E.g., Steel Beams</t>
  </si>
  <si>
    <t>Element Category</t>
  </si>
  <si>
    <t>Path 1: Salvage a minimum quantity of lumber</t>
  </si>
  <si>
    <t>Path 2: Quantify embodied carbon value of salvaged materials</t>
  </si>
  <si>
    <t>Provide documentation showing where the salvaged items were received for reuse. See Note for acceptable documentation.</t>
  </si>
  <si>
    <t>Steel Beams</t>
  </si>
  <si>
    <r>
      <rPr>
        <b/>
        <sz val="10"/>
        <color theme="1"/>
        <rFont val="Arial"/>
        <family val="2"/>
      </rPr>
      <t>Instruction:</t>
    </r>
    <r>
      <rPr>
        <sz val="10"/>
        <color theme="1"/>
        <rFont val="Arial"/>
        <family val="2"/>
      </rPr>
      <t xml:space="preserve"> Provide all required information (white cells) below and complete the reporting requirements checklist. See Section I.5: Design for Disassembly (DfD) Requirements of Appendix I: Industry Leadership Credits to the City of Vancouver Addendum. </t>
    </r>
  </si>
  <si>
    <t xml:space="preserve">Are optional elements included in the scope of DfD materials? </t>
  </si>
  <si>
    <t>Representative Phone Number:</t>
  </si>
  <si>
    <r>
      <t xml:space="preserve">Interior </t>
    </r>
    <r>
      <rPr>
        <b/>
        <sz val="9"/>
        <rFont val="Gotham-Book"/>
      </rPr>
      <t>Construction</t>
    </r>
  </si>
  <si>
    <t>Electrical </t>
  </si>
  <si>
    <t>Site Improvements (Except Landscaping) </t>
  </si>
  <si>
    <r>
      <t>Total Embodied Carbon Emissions (kgCO</t>
    </r>
    <r>
      <rPr>
        <b/>
        <vertAlign val="subscript"/>
        <sz val="10"/>
        <color theme="0"/>
        <rFont val="Calibri"/>
        <family val="2"/>
        <scheme val="minor"/>
      </rPr>
      <t>2</t>
    </r>
    <r>
      <rPr>
        <b/>
        <sz val="10"/>
        <color theme="0"/>
        <rFont val="Calibri"/>
        <family val="2"/>
        <scheme val="minor"/>
      </rPr>
      <t>e)</t>
    </r>
  </si>
  <si>
    <r>
      <t>Total Embodied Carbon Emissions (kgCO</t>
    </r>
    <r>
      <rPr>
        <b/>
        <vertAlign val="subscript"/>
        <sz val="10"/>
        <color theme="0"/>
        <rFont val="Arial"/>
        <family val="2"/>
      </rPr>
      <t>2</t>
    </r>
    <r>
      <rPr>
        <b/>
        <sz val="10"/>
        <color theme="0"/>
        <rFont val="Arial"/>
        <family val="2"/>
      </rPr>
      <t>e)</t>
    </r>
  </si>
  <si>
    <t>■ The "Reporting" column is automatically populated based on the software tool specified in cell #D18, except for when "Other" is selected.
■ Do not modify the auto-populated responses, unless the project is reporting embodied carbon of the missing life cycle stages using project-specific or regional data or if the tool includes or misses any of the life cycle stages shown to be included below.</t>
  </si>
  <si>
    <t xml:space="preserve">■ Use the form below to report the embodied carbon emissions and assess compliance with the embodied carbon requirements of Vancouver Building By-law.
■ "Required Elements" should only include substructure and shell (i.e. structure and enclosure).
■ "Optional Elements" shall include the other elements, indicated to be included in the "Building Elements" section of "EC Modelling Info" sheet.
■ Biogenic carbon and concrete carbonation reported from the software tool shall not be included in this sheet. They may be reported separately in "Carbon Storage" sheet.
■ Short Cycle Biogenic Carbon and Industry Leadership Credits can optionally be used to meet the compliance requirements. </t>
  </si>
  <si>
    <t xml:space="preserve">■ Provide the filename(s) of the raw data spreadsheet export from the software tool and a description of each file. 
■ Please ensure filenames are correct, as this will be used to link raw data files with this submission template. Example: "Project Name_Proposed_OCL LCC Results.xls"
■ Select relevant file description for each filename. 
■ Dropdown options with * are Required file results to be included for each specific software tool. Other options without * are optional but highly recommended to be included.
■ Depending on the software tool, each scenario may have multiple spreadsheet exports that are relevant.
■ If submitting raw data files that have been modified outside of the software tool, provide both the raw data file and the raw data file that has been modified. </t>
  </si>
  <si>
    <t xml:space="preserve">■ Optionally, enter the material quantities for Short Cycle Biogenic Materials to be included for compliance assessment, i.e. included to achieve the embodied carbon limit.
■ Optionally, report the carbon storage from default accepted tools, such as biogenic carbon and concrete carbonation. Carbon storage from default accepted software tools is not to be included for compliance assessment.
■ Biogenic carbon values from the default accepted software tools shall not be used to represent Short Cycle Biogenic Material biogenic carbon. </t>
  </si>
  <si>
    <t>■ Biogenic carbon from Short Cycle Biogenic Materials can optionally be counted as carbon sequestered in the building, i.e., as a negative emission. See Section 4.4 in the City of Vancouver Addendum to the National wbLCA Practitioner's Guide for how Short Cycle Biogenic Materials are defined and used in compiance assessment.
■ Short Cycle Biogenic Materials shall only be included below if the building element is also included in the software tool inputs and GWP reporting for compliance. Refer to Section 3.3 of the National wbLCA Practitioner's Guide for optional scope building elements. 
■ Biogenic carbon values are based on Builders for Climate Action's BEAM tool 'short cycle' biogenic carbon values for new materials and the 'long cycle' biogenic carbon values for salvaged wood materials. Builders for Climate Action has helped NRCan to develop the MCE2 tool for national use, which follows the same carbon storage methodology as the BEAM tool. If an EPD does not exist below, submit the EPD to Builders for Climate Action and it will be considered for inclusion in future versions.</t>
  </si>
  <si>
    <r>
      <rPr>
        <b/>
        <sz val="10"/>
        <color theme="1"/>
        <rFont val="Arial"/>
        <family val="2"/>
      </rPr>
      <t>Instruction:</t>
    </r>
    <r>
      <rPr>
        <sz val="10"/>
        <color theme="1"/>
        <rFont val="Arial"/>
        <family val="2"/>
      </rPr>
      <t xml:space="preserve"> Identify the top five Key Products by undertaking a contribution analysis of the full life-cycle (A-C) GWP results submitted for BP. Ready-Mixed Concrete mixes count as one Key Product. 
■ Some default accepted software tools, such as Athena Impact Estimator for Buildings, may not have the reporting level of detail required to undertake a material-based contribution analysis and show compliance for this ILC. 
■ Provide the software tool A4 embodied carbon for comparison purposes. </t>
    </r>
  </si>
  <si>
    <r>
      <t>Software Tool A4 Embodied Carbon (kgCO</t>
    </r>
    <r>
      <rPr>
        <b/>
        <vertAlign val="subscript"/>
        <sz val="10"/>
        <rFont val="Arial"/>
        <family val="2"/>
      </rPr>
      <t>2</t>
    </r>
    <r>
      <rPr>
        <b/>
        <sz val="10"/>
        <rFont val="Arial"/>
        <family val="2"/>
      </rPr>
      <t>e)</t>
    </r>
  </si>
  <si>
    <t>Software Tool A5 Embodied Carbon (kgCO2e)</t>
  </si>
  <si>
    <r>
      <t>Software Tool Design A4 Embodied Carbon (kgCO</t>
    </r>
    <r>
      <rPr>
        <b/>
        <vertAlign val="subscript"/>
        <sz val="10"/>
        <rFont val="Arial"/>
        <family val="2"/>
      </rPr>
      <t>2</t>
    </r>
    <r>
      <rPr>
        <b/>
        <sz val="10"/>
        <rFont val="Arial"/>
        <family val="2"/>
      </rPr>
      <t>e)</t>
    </r>
  </si>
  <si>
    <r>
      <t>Software Tool Design Embodied Carbon (kgCO</t>
    </r>
    <r>
      <rPr>
        <vertAlign val="subscript"/>
        <sz val="10"/>
        <color theme="1"/>
        <rFont val="Arial"/>
        <family val="2"/>
      </rPr>
      <t>2</t>
    </r>
    <r>
      <rPr>
        <sz val="10"/>
        <color theme="1"/>
        <rFont val="Arial"/>
        <family val="2"/>
      </rPr>
      <t>e)</t>
    </r>
  </si>
  <si>
    <t xml:space="preserve">Describe the modifications made and the data sources used. For instance the default software tool assumptions may have been modified to align with either Tables 1-3 or 5 in the National wbLCA Practitioner's Guide or with the City of Vancouver Addendum. </t>
  </si>
  <si>
    <t>Related ILC</t>
  </si>
  <si>
    <t>5. Submission Docs.</t>
  </si>
  <si>
    <t>The required embodied carbon submission documents for Rezoning, Building Permit, and Occupancy Permit are shown in Table ii of the City of Vancouver Addendum to the National wbLCA Practitioner's Guide. Indicate the file names below for the following submission documents:
■ Raw data from the software tool, following the guidance provided in the link below.
■ Documents for Industry Leadership Credits, if pursued.
■ Manual calculations, if any.</t>
  </si>
  <si>
    <t>Industry Leadership Credit (ILC) Documentation</t>
  </si>
  <si>
    <t>ILCs - Design Submission</t>
  </si>
  <si>
    <t>ILCs - As-Built Submission</t>
  </si>
  <si>
    <t xml:space="preserve">If modifications were made outside of the tool, confirm that a both the raw software tool results files as well as the modified results files have been submitted and that the document file names for both files are recorded in the sheet '5. Submission Docs.'. </t>
  </si>
  <si>
    <t xml:space="preserve">                               Submission Documents</t>
  </si>
  <si>
    <t>Raw Data from Software Tool</t>
  </si>
  <si>
    <t>The raw data file names are listed in sheet '5. Submission Docs.'.</t>
  </si>
  <si>
    <r>
      <t>Scope by Level 3 OmniClass</t>
    </r>
    <r>
      <rPr>
        <vertAlign val="superscript"/>
        <sz val="9"/>
        <rFont val="Gotham-Book"/>
      </rPr>
      <t>TM</t>
    </r>
  </si>
  <si>
    <r>
      <t>Credit</t>
    </r>
    <r>
      <rPr>
        <sz val="9"/>
        <rFont val="Gotham-Medium"/>
      </rPr>
      <t xml:space="preserve"> (Max 5%)</t>
    </r>
  </si>
  <si>
    <t>Relaxation of Embodied Carbon Limit</t>
  </si>
  <si>
    <t>Industry Leadership Credits - Summary</t>
  </si>
  <si>
    <t>ILCs Pursued by Project</t>
  </si>
  <si>
    <t>%-Relaxation</t>
  </si>
  <si>
    <t xml:space="preserve">■ Industry Leadership Credits (ILCs) can optionally be pursued to allow projects to relax the embodied carbon limit by reporting additional information and/or reusing materials. 
■ A maximum of 5% credit can be claimed for any combination of ILCs. 
■ If Industry Leadership Credits were indicated as being pursued on sheet '3. Modelling info', follow the instructions to complete the related requirements. Some credits require as-built reporting to be provided prior to Occupancy. 
■ This sheet allows users to add new rows as needed to accommodate additional entries. However, please note that formulas are not automatically copied to newly inserted rows. After adding a row, you must manually copy the formulas from the previous row into the new one. Failure to do so may result in incomplete calculations or errors in the data summary. For best results, copy a table row then right-click above the last row and "insert Copied Cells". </t>
  </si>
  <si>
    <r>
      <t xml:space="preserve">%-reduction from Short Cycle Biogenic Materials, </t>
    </r>
    <r>
      <rPr>
        <b/>
        <i/>
        <sz val="10"/>
        <color theme="1"/>
        <rFont val="Arial"/>
        <family val="2"/>
      </rPr>
      <t>BioC</t>
    </r>
    <r>
      <rPr>
        <b/>
        <i/>
        <vertAlign val="subscript"/>
        <sz val="10"/>
        <color theme="1"/>
        <rFont val="Arial"/>
        <family val="2"/>
      </rPr>
      <t>sc, per GFA</t>
    </r>
    <r>
      <rPr>
        <b/>
        <vertAlign val="subscript"/>
        <sz val="10"/>
        <color theme="1"/>
        <rFont val="Arial"/>
        <family val="2"/>
      </rPr>
      <t xml:space="preserve"> </t>
    </r>
    <r>
      <rPr>
        <b/>
        <sz val="10"/>
        <color theme="1"/>
        <rFont val="Arial"/>
        <family val="2"/>
      </rPr>
      <t>(%)</t>
    </r>
  </si>
  <si>
    <t xml:space="preserve">Proposed </t>
  </si>
  <si>
    <t>Error Identification for ILCs</t>
  </si>
  <si>
    <r>
      <t>Projected Date of First Building Permit Application</t>
    </r>
    <r>
      <rPr>
        <i/>
        <sz val="9"/>
        <color theme="1" tint="0.34998626667073579"/>
        <rFont val="Arial"/>
        <family val="2"/>
      </rPr>
      <t xml:space="preserve"> (YYYY-MM-DD)</t>
    </r>
  </si>
  <si>
    <t>Max ILCs Available</t>
  </si>
  <si>
    <t>Reduction Achieved (%)</t>
  </si>
  <si>
    <t>Relaxation of Embodied Carbon Limit Due to Industry Leadership Credits (ILCs)</t>
  </si>
  <si>
    <r>
      <t>Embodied Carbon Emissions &amp; Limit for Required Elements without BioC</t>
    </r>
    <r>
      <rPr>
        <b/>
        <vertAlign val="subscript"/>
        <sz val="10"/>
        <color theme="0"/>
        <rFont val="Arial"/>
        <family val="2"/>
      </rPr>
      <t>sc</t>
    </r>
    <r>
      <rPr>
        <b/>
        <sz val="10"/>
        <color theme="0"/>
        <rFont val="Arial"/>
        <family val="2"/>
      </rPr>
      <t xml:space="preserve"> and ILCs</t>
    </r>
  </si>
  <si>
    <r>
      <t>Total Embodied Carbon Emissions (kgCO</t>
    </r>
    <r>
      <rPr>
        <b/>
        <vertAlign val="subscript"/>
        <sz val="10"/>
        <color theme="1" tint="0.34998626667073579"/>
        <rFont val="Arial"/>
        <family val="2"/>
      </rPr>
      <t>2</t>
    </r>
    <r>
      <rPr>
        <b/>
        <sz val="10"/>
        <color theme="1" tint="0.34998626667073579"/>
        <rFont val="Arial"/>
        <family val="2"/>
      </rPr>
      <t>e)</t>
    </r>
  </si>
  <si>
    <r>
      <t>Embodied Carbon Intensity - GFA (kgCO</t>
    </r>
    <r>
      <rPr>
        <b/>
        <vertAlign val="subscript"/>
        <sz val="10"/>
        <color theme="1" tint="0.34998626667073579"/>
        <rFont val="Arial"/>
        <family val="2"/>
      </rPr>
      <t>2</t>
    </r>
    <r>
      <rPr>
        <b/>
        <sz val="10"/>
        <color theme="1" tint="0.34998626667073579"/>
        <rFont val="Arial"/>
        <family val="2"/>
      </rPr>
      <t>e/m</t>
    </r>
    <r>
      <rPr>
        <b/>
        <vertAlign val="superscript"/>
        <sz val="10"/>
        <color theme="1" tint="0.34998626667073579"/>
        <rFont val="Arial"/>
        <family val="2"/>
      </rPr>
      <t>2</t>
    </r>
    <r>
      <rPr>
        <b/>
        <sz val="10"/>
        <color theme="1" tint="0.34998626667073579"/>
        <rFont val="Arial"/>
        <family val="2"/>
      </rPr>
      <t>)</t>
    </r>
  </si>
  <si>
    <r>
      <t>Embodied Carbon Intensity - BFA (kgCO</t>
    </r>
    <r>
      <rPr>
        <b/>
        <vertAlign val="subscript"/>
        <sz val="10"/>
        <color theme="1" tint="0.34998626667073579"/>
        <rFont val="Arial"/>
        <family val="2"/>
      </rPr>
      <t>2</t>
    </r>
    <r>
      <rPr>
        <b/>
        <sz val="10"/>
        <color theme="1" tint="0.34998626667073579"/>
        <rFont val="Arial"/>
        <family val="2"/>
      </rPr>
      <t>e/m</t>
    </r>
    <r>
      <rPr>
        <b/>
        <vertAlign val="superscript"/>
        <sz val="10"/>
        <color theme="1" tint="0.34998626667073579"/>
        <rFont val="Arial"/>
        <family val="2"/>
      </rPr>
      <t>2</t>
    </r>
    <r>
      <rPr>
        <b/>
        <sz val="10"/>
        <color theme="1" tint="0.34998626667073579"/>
        <rFont val="Arial"/>
        <family val="2"/>
      </rPr>
      <t>)</t>
    </r>
  </si>
  <si>
    <t>Benchmarking Information</t>
  </si>
  <si>
    <r>
      <t>Equivelant Embodied Carbon Intensity (kgCO</t>
    </r>
    <r>
      <rPr>
        <b/>
        <vertAlign val="subscript"/>
        <sz val="10"/>
        <color theme="1" tint="0.34998626667073579"/>
        <rFont val="Arial"/>
        <family val="2"/>
      </rPr>
      <t>2</t>
    </r>
    <r>
      <rPr>
        <b/>
        <sz val="10"/>
        <color theme="1" tint="0.34998626667073579"/>
        <rFont val="Arial"/>
        <family val="2"/>
      </rPr>
      <t>e/m</t>
    </r>
    <r>
      <rPr>
        <b/>
        <vertAlign val="superscript"/>
        <sz val="10"/>
        <color theme="1" tint="0.34998626667073579"/>
        <rFont val="Arial"/>
        <family val="2"/>
      </rPr>
      <t>2</t>
    </r>
    <r>
      <rPr>
        <b/>
        <sz val="10"/>
        <color theme="1" tint="0.34998626667073579"/>
        <rFont val="Arial"/>
        <family val="2"/>
      </rPr>
      <t>)</t>
    </r>
  </si>
  <si>
    <r>
      <t>Equivelant ECI (kgCO</t>
    </r>
    <r>
      <rPr>
        <b/>
        <vertAlign val="subscript"/>
        <sz val="10"/>
        <rFont val="Arial"/>
        <family val="2"/>
      </rPr>
      <t>2</t>
    </r>
    <r>
      <rPr>
        <b/>
        <sz val="10"/>
        <rFont val="Arial"/>
        <family val="2"/>
      </rPr>
      <t>e/m</t>
    </r>
    <r>
      <rPr>
        <b/>
        <vertAlign val="superscript"/>
        <sz val="10"/>
        <rFont val="Arial"/>
        <family val="2"/>
      </rPr>
      <t>2</t>
    </r>
    <r>
      <rPr>
        <b/>
        <sz val="10"/>
        <rFont val="Arial"/>
        <family val="2"/>
      </rPr>
      <t>)</t>
    </r>
  </si>
  <si>
    <r>
      <t>Equivelant Embodied 
Carbon (kgCO</t>
    </r>
    <r>
      <rPr>
        <b/>
        <vertAlign val="subscript"/>
        <sz val="10"/>
        <rFont val="Arial"/>
        <family val="2"/>
      </rPr>
      <t>2</t>
    </r>
    <r>
      <rPr>
        <b/>
        <sz val="10"/>
        <rFont val="Arial"/>
        <family val="2"/>
      </rPr>
      <t>e)</t>
    </r>
  </si>
  <si>
    <t>Industry Leadership Credit and Short Cycle Biogenic Carbon Summary</t>
  </si>
  <si>
    <t>Embodied Carbon Emissions &amp; Limit</t>
  </si>
  <si>
    <t>← Expand/collapse rows for industry average short cycle biogenic carbon elements</t>
  </si>
  <si>
    <t xml:space="preserve">Bamboo cladding </t>
  </si>
  <si>
    <t xml:space="preserve">Fiber Cement siding </t>
  </si>
  <si>
    <t xml:space="preserve">Bamboo flooring </t>
  </si>
  <si>
    <t xml:space="preserve">Cork flooring </t>
  </si>
  <si>
    <t xml:space="preserve">Linoleum flooring </t>
  </si>
  <si>
    <t xml:space="preserve">Salvaged Cedar Shingles &amp; Shakes &amp; Siding </t>
  </si>
  <si>
    <t xml:space="preserve">Salvaged Cross Laminated Timber (CLT) </t>
  </si>
  <si>
    <t xml:space="preserve">Salvaged Engineered Wood Siding </t>
  </si>
  <si>
    <t xml:space="preserve">Salvaged Engineered Wood Flooring </t>
  </si>
  <si>
    <t xml:space="preserve">Salvaged Hardwood flooring / Solid Wood Flooring </t>
  </si>
  <si>
    <t xml:space="preserve">Salvaged Heat Treated Wood Cladding </t>
  </si>
  <si>
    <t xml:space="preserve">Salvaged Wood / Redwood </t>
  </si>
  <si>
    <t>Salvaged Wood I joist / TJI 230/360 / 16" Depth</t>
  </si>
  <si>
    <t>Wood chip cement ICF 12" R-21 with Cork Board Inserts (3 in. @ R4/in.), 15M Rebar</t>
  </si>
  <si>
    <t>Wood chip cement ICF 12" R-22 with Mineral Wool Inserts, (3 in. @ R4.2/in.), 15M Rebar</t>
  </si>
  <si>
    <t>Wood chip cement ICF 14" R-27 with Cork Board Inserts (5 in. @ R4/in.), 15M Rebar</t>
  </si>
  <si>
    <t>Wood chip cement ICF 14" R-28 with Mineral Wool Inserts (5 in. @ R4.2/in.), 15M Rebar</t>
  </si>
  <si>
    <t xml:space="preserve">Reporting of carbon storage from the software tools can optionally be reported below. </t>
  </si>
  <si>
    <t xml:space="preserve">Lumber - Weight </t>
  </si>
  <si>
    <t>Lumber - Board Feet</t>
  </si>
  <si>
    <t>Weight - Truck Load</t>
  </si>
  <si>
    <t>Salvage per floor area (board feet/ sq. ft.)</t>
  </si>
  <si>
    <t>Minimum salvage criteria limit (board feet / sq. ft.)</t>
  </si>
  <si>
    <t>Board feet can be calculated using the Board Foot Calc tool from Canadian Wood Council.  https://cwc.ca/boardfoot/woodcalc.php</t>
  </si>
  <si>
    <t>Total lumber salvaged in board feet:</t>
  </si>
  <si>
    <t>Total lumber salvaged in kg:</t>
  </si>
  <si>
    <t xml:space="preserve">Name entity receiving the material, 
or describe how material is being reused: </t>
  </si>
  <si>
    <t xml:space="preserve">Reporting in Weight - Truck Load </t>
  </si>
  <si>
    <t>Reporting in Lumber - Board Feet</t>
  </si>
  <si>
    <t>Reporting in Lumber - Weight</t>
  </si>
  <si>
    <t xml:space="preserve">Provide raw data files  from the software tool and list the file name in sheet '5. Submisison Docs.' showing the embodied carbon total entered for Path 2. </t>
  </si>
  <si>
    <t xml:space="preserve">All materials that are salvaged, per the Addendum, are acceptable under Path 2. Salvaged materials that are reported for Path 1 cannot be reported for Path 2 and vise versa. Quantify the embodied carbon of salvaged materials using equivelant new materials from default accepted software tools, as specified in Section 4.3 of the City of Vancouver Addendum. </t>
  </si>
  <si>
    <t>Reporting by weight allows for the inclusion of both plywood and dimensional lumber in salvaged materials. For the purposes of this credit, the following conversion factors may be used to calculate the weight of salvaged lumber:</t>
  </si>
  <si>
    <t xml:space="preserve">■ Acceptable lumber includes dimensional lumber from studs, joists, beams, posts, blocking, headers, sheathing, rafters and flooring, suitable for salvaging for reuse, but excludes particle board and medium-density fibreboard material. 
■ Reporting can either be by the truck net weight of lumber (Weight), by measuring each piece of lumber and reporting the board feet salvaged, or by measuring each piece of lumber and reporting the weight. 
■ Salvaged materials that are reported for Path 1 cannot be reported for Path 2 and vise versa. 
■ It is suggested to track calculations. The City may reach out for additional information. </t>
  </si>
  <si>
    <r>
      <t>Reduction from Short Cycle Biogenic Carbon Materials (BioC</t>
    </r>
    <r>
      <rPr>
        <b/>
        <vertAlign val="subscript"/>
        <sz val="10"/>
        <color theme="0"/>
        <rFont val="Arial"/>
        <family val="2"/>
      </rPr>
      <t>sc</t>
    </r>
    <r>
      <rPr>
        <b/>
        <sz val="10"/>
        <color theme="0"/>
        <rFont val="Arial"/>
        <family val="2"/>
      </rPr>
      <t xml:space="preserve">) </t>
    </r>
  </si>
  <si>
    <r>
      <t xml:space="preserve">Total Short Cycle Biogenic Carbon, </t>
    </r>
    <r>
      <rPr>
        <b/>
        <i/>
        <sz val="10"/>
        <color theme="1" tint="0.34998626667073579"/>
        <rFont val="Arial"/>
        <family val="2"/>
      </rPr>
      <t>BioC</t>
    </r>
    <r>
      <rPr>
        <b/>
        <i/>
        <vertAlign val="subscript"/>
        <sz val="10"/>
        <color theme="1" tint="0.34998626667073579"/>
        <rFont val="Arial"/>
        <family val="2"/>
      </rPr>
      <t>sc</t>
    </r>
    <r>
      <rPr>
        <b/>
        <vertAlign val="subscript"/>
        <sz val="10"/>
        <color theme="1" tint="0.34998626667073579"/>
        <rFont val="Arial"/>
        <family val="2"/>
      </rPr>
      <t xml:space="preserve"> </t>
    </r>
    <r>
      <rPr>
        <b/>
        <sz val="10"/>
        <color theme="1" tint="0.34998626667073579"/>
        <rFont val="Arial"/>
        <family val="2"/>
      </rPr>
      <t>(kgCO</t>
    </r>
    <r>
      <rPr>
        <b/>
        <vertAlign val="subscript"/>
        <sz val="10"/>
        <color theme="1" tint="0.34998626667073579"/>
        <rFont val="Arial"/>
        <family val="2"/>
      </rPr>
      <t>2</t>
    </r>
    <r>
      <rPr>
        <b/>
        <sz val="10"/>
        <color theme="1" tint="0.34998626667073579"/>
        <rFont val="Arial"/>
        <family val="2"/>
      </rPr>
      <t>e)</t>
    </r>
  </si>
  <si>
    <r>
      <t xml:space="preserve">Short Cycle Biogenic Carbon Intensity, </t>
    </r>
    <r>
      <rPr>
        <b/>
        <i/>
        <sz val="10"/>
        <color theme="1" tint="0.34998626667073579"/>
        <rFont val="Arial"/>
        <family val="2"/>
      </rPr>
      <t>BioC</t>
    </r>
    <r>
      <rPr>
        <b/>
        <i/>
        <vertAlign val="subscript"/>
        <sz val="10"/>
        <color theme="1" tint="0.34998626667073579"/>
        <rFont val="Arial"/>
        <family val="2"/>
      </rPr>
      <t>sc, per GFA</t>
    </r>
    <r>
      <rPr>
        <b/>
        <vertAlign val="subscript"/>
        <sz val="10"/>
        <color theme="1" tint="0.34998626667073579"/>
        <rFont val="Arial"/>
        <family val="2"/>
      </rPr>
      <t xml:space="preserve"> </t>
    </r>
    <r>
      <rPr>
        <b/>
        <sz val="10"/>
        <color theme="1" tint="0.34998626667073579"/>
        <rFont val="Arial"/>
        <family val="2"/>
      </rPr>
      <t>(kgCO</t>
    </r>
    <r>
      <rPr>
        <b/>
        <vertAlign val="subscript"/>
        <sz val="10"/>
        <color theme="1" tint="0.34998626667073579"/>
        <rFont val="Arial"/>
        <family val="2"/>
      </rPr>
      <t>2</t>
    </r>
    <r>
      <rPr>
        <b/>
        <sz val="10"/>
        <color theme="1" tint="0.34998626667073579"/>
        <rFont val="Arial"/>
        <family val="2"/>
      </rPr>
      <t>e/m</t>
    </r>
    <r>
      <rPr>
        <b/>
        <vertAlign val="superscript"/>
        <sz val="10"/>
        <color theme="1" tint="0.34998626667073579"/>
        <rFont val="Arial"/>
        <family val="2"/>
      </rPr>
      <t>2</t>
    </r>
    <r>
      <rPr>
        <b/>
        <sz val="10"/>
        <color theme="1" tint="0.34998626667073579"/>
        <rFont val="Arial"/>
        <family val="2"/>
      </rPr>
      <t>)</t>
    </r>
  </si>
  <si>
    <r>
      <t>%-reduction from Short Cycle Biogenic Materials</t>
    </r>
    <r>
      <rPr>
        <b/>
        <vertAlign val="subscript"/>
        <sz val="10"/>
        <color theme="1" tint="0.34998626667073579"/>
        <rFont val="Arial"/>
        <family val="2"/>
      </rPr>
      <t xml:space="preserve"> </t>
    </r>
    <r>
      <rPr>
        <b/>
        <sz val="10"/>
        <color theme="1" tint="0.34998626667073579"/>
        <rFont val="Arial"/>
        <family val="2"/>
      </rPr>
      <t>(%)</t>
    </r>
  </si>
  <si>
    <r>
      <t>Equivelant Total Embodied Carbon (kgCO</t>
    </r>
    <r>
      <rPr>
        <b/>
        <vertAlign val="subscript"/>
        <sz val="10"/>
        <color theme="1" tint="0.34998626667073579"/>
        <rFont val="Arial"/>
        <family val="2"/>
      </rPr>
      <t>2</t>
    </r>
    <r>
      <rPr>
        <b/>
        <sz val="10"/>
        <color theme="1" tint="0.34998626667073579"/>
        <rFont val="Arial"/>
        <family val="2"/>
      </rPr>
      <t>e)</t>
    </r>
  </si>
  <si>
    <t>■ The submission to the City should combine all of the above files and the Excel version of the Embodied Carbon Design Report in one .zip file. The only document that should not be included in the .zip file is the printed to PDF Embodied Carbon Design Report.</t>
  </si>
  <si>
    <t>(if "Other") Name of the Software Tool Used</t>
  </si>
  <si>
    <t>(if "Other") Does the tool provide a breakdown of the results by life cycle stages?</t>
  </si>
  <si>
    <r>
      <rPr>
        <sz val="9"/>
        <color theme="1" tint="0.34998626667073579"/>
        <rFont val="Arial"/>
        <family val="2"/>
      </rPr>
      <t xml:space="preserve">(Fixed &amp; Movable Furnishings) </t>
    </r>
    <r>
      <rPr>
        <sz val="10"/>
        <color theme="1"/>
        <rFont val="Arial"/>
        <family val="2"/>
      </rPr>
      <t>Furnishings</t>
    </r>
    <r>
      <rPr>
        <sz val="9"/>
        <color theme="1"/>
        <rFont val="Arial"/>
        <family val="2"/>
      </rPr>
      <t xml:space="preserve"> &amp; Equipment</t>
    </r>
  </si>
  <si>
    <t xml:space="preserve">■ This Embodied Carbon Design Report (Design Report) is the reporting template designed to be used for demonstrating compliance with the embodied carbon requirements specified in Section 10.4 of the VBBL. 
■ The 10.4 embodied carbon requirements in VBBL 2025 apply to all new buildings and additions except those with gross floor area not exceeding 1,800 m2 as well as other buildings as detailed in VBBL. Smaller buildings, such as stacked townhomes and their shared underground parkades, are intended to be exempt. Applicants may consult with building officials to confirm applicability.
■ For guidance on embodied carbon emissions assessment refer to the corresponding version of the National wbLCA Practitioner's Guide and the associated City of Vancouver Addendum. </t>
  </si>
  <si>
    <t>File names and submission requirements for (1) raw data from embodied carbon assessment software tools and (2) Industry Leadership Credits, if applicable.</t>
  </si>
  <si>
    <t>Supplier Contact Name</t>
  </si>
  <si>
    <r>
      <rPr>
        <b/>
        <sz val="10"/>
        <color theme="1"/>
        <rFont val="Arial"/>
        <family val="2"/>
      </rPr>
      <t xml:space="preserve">Instruction: </t>
    </r>
    <r>
      <rPr>
        <sz val="10"/>
        <color theme="1"/>
        <rFont val="Arial"/>
        <family val="2"/>
      </rPr>
      <t xml:space="preserve">Enter the as-built concrete data below based on installed quantities and/or product specific Type III EPDs.The evaluation section will auto-populate after all data has been entered. A per-mix comparison to the Concrete BC Industry Wide EPD is provided for information purposes but is not used to evaluate if the design budgets have been met. </t>
    </r>
  </si>
  <si>
    <t>Strength (MPa) for BC Industry Average Drop-down</t>
  </si>
  <si>
    <t>Other (Specify in notes)</t>
  </si>
  <si>
    <r>
      <t>BC Baseline Embodied Carbon (kgCO</t>
    </r>
    <r>
      <rPr>
        <b/>
        <vertAlign val="subscript"/>
        <sz val="10"/>
        <color theme="1" tint="0.34998626667073579"/>
        <rFont val="Arial"/>
        <family val="2"/>
      </rPr>
      <t>2</t>
    </r>
    <r>
      <rPr>
        <b/>
        <sz val="10"/>
        <color theme="1" tint="0.34998626667073579"/>
        <rFont val="Arial"/>
        <family val="2"/>
      </rPr>
      <t>e)</t>
    </r>
  </si>
  <si>
    <t>Optionally, provide a narrative on the challenges, relative ease, and successes in collecting the above information. If the concrete budget was not met, indicate the main reasons why.</t>
  </si>
  <si>
    <t>% of total A-C Design GWP</t>
  </si>
  <si>
    <t xml:space="preserve">If using Manual Calculations: </t>
  </si>
  <si>
    <t xml:space="preserve">The required fields (white cells) in the below table headings must be included in the reported information. </t>
  </si>
  <si>
    <t xml:space="preserve">The total as-built module emissions shall be reported in the below evaluation section. </t>
  </si>
  <si>
    <t xml:space="preserve">The following emissions factors shall be used. </t>
  </si>
  <si>
    <t>Manual Calculations must be submitted in both .pdf and excel format, per the instructions in sheet "5. Submisison Docs."</t>
  </si>
  <si>
    <t xml:space="preserve">Industry Leadership Credits are optional. If pursued, list file names of supporting documents here.  
■ See sheet '7. ILCs - Design' and '8. ILCs - As-Built' for requirements related to each ILC, and a summary of required documents in Table vii of Appendix I: Industry Leadership Credits. 
■ Provide the filename(s) of the supporting ILC files below. 
■ Please ensure filenames are correct, as this will be used to link files with this submission template. Example: "Project Name_Proposed_OCL LCC Results_ILCavi.xls"
■ Select related Industry Leadership Credit for each filename. </t>
  </si>
  <si>
    <t>LCA or EC Software Tool for ILC a.1</t>
  </si>
  <si>
    <t>(if "Other") Does the tool scope include Construction Process, Use, and End-of-Life emissions?</t>
  </si>
  <si>
    <t>% Difference to Software Tool A5</t>
  </si>
  <si>
    <t>Reported Total A5 Compared to Design-stage A-C (%)</t>
  </si>
  <si>
    <r>
      <rPr>
        <b/>
        <sz val="10"/>
        <color theme="1"/>
        <rFont val="Arial"/>
        <family val="2"/>
      </rPr>
      <t>Instructions:</t>
    </r>
    <r>
      <rPr>
        <sz val="10"/>
        <color theme="1"/>
        <rFont val="Arial"/>
        <family val="2"/>
      </rPr>
      <t xml:space="preserve"> Complete all requirements per the reporting requirements checklist below along with the sub-module-specific instructions. Only sub-modules indicated as "Reporting" for ILC a.vi in sheet "7.ILCs - As-Built" are shown. </t>
    </r>
  </si>
  <si>
    <t>A5.1 construction activities start date (YYYY-MM-DD)</t>
  </si>
  <si>
    <t>A5.1 construction activities end date (YYYY-MM-DD)</t>
  </si>
  <si>
    <t>A5.2 construction activities start date (YYYY-MM-DD)</t>
  </si>
  <si>
    <t>A5.2 construction activities end date (YYYY-MM-DD)</t>
  </si>
  <si>
    <t>A5.3 construction activities start date (YYYY-MM-DD)</t>
  </si>
  <si>
    <t>A5.3 construction activities end date (YYYY-MM-DD)</t>
  </si>
  <si>
    <t>Optionally, describe the most contributing emissions source. Include a rational for the reporting cut-off, such as supply chain visibility, confidentiality concerns etc.</t>
  </si>
  <si>
    <r>
      <rPr>
        <b/>
        <sz val="10"/>
        <color theme="1"/>
        <rFont val="Arial"/>
        <family val="2"/>
      </rPr>
      <t>Instruction:</t>
    </r>
    <r>
      <rPr>
        <sz val="10"/>
        <color theme="1"/>
        <rFont val="Arial"/>
        <family val="2"/>
      </rPr>
      <t xml:space="preserve"> Report all construction activity emissions that occur during the construction of the project. This may include operation of construction equipment, temporary site infrastructure, site offices and accommodations, etc. The same distinct activity may be grouped to one line item. </t>
    </r>
  </si>
  <si>
    <r>
      <rPr>
        <b/>
        <sz val="10"/>
        <color theme="1"/>
        <rFont val="Arial"/>
        <family val="2"/>
      </rPr>
      <t>Instruction:</t>
    </r>
    <r>
      <rPr>
        <sz val="10"/>
        <color theme="1"/>
        <rFont val="Arial"/>
        <family val="2"/>
      </rPr>
      <t xml:space="preserve"> Report all construction waste emissions that occur as a result of the construction of the project. This may include transportation of offcuts and packaging, transportation of excavated soil, etc. The same distinct activity may be grouped to one line item. Note that thie ILC only tracks the transportation emisisons (A4) from wasted materials, although other Product (A1-A3) and End-of-life (C1-C4) emisisons may be significant. </t>
    </r>
  </si>
  <si>
    <r>
      <rPr>
        <b/>
        <sz val="10"/>
        <color theme="1"/>
        <rFont val="Arial"/>
        <family val="2"/>
      </rPr>
      <t>Instruction:</t>
    </r>
    <r>
      <rPr>
        <sz val="10"/>
        <color theme="1"/>
        <rFont val="Arial"/>
        <family val="2"/>
      </rPr>
      <t xml:space="preserve"> Report all preconstruction demolition emissions that occur prior to the construction of the project. This may include demolition of the existing building, use of heavy equipment, transportation of demolition waste materials, etc. The same distinct activity may be grouped to one line item. </t>
    </r>
  </si>
  <si>
    <t>All connections are reversible.</t>
  </si>
  <si>
    <t>Connections can be safely accessed, and element safely removed from the building.</t>
  </si>
  <si>
    <t>Elements are sized for compatibility with common uses to ease reuse.</t>
  </si>
  <si>
    <t>Elements are uncontaminated by other materials.</t>
  </si>
  <si>
    <t>Elements are labelled or otherwise identified, and the removal methodology is documented in the Deconstruction Plan.</t>
  </si>
  <si>
    <t>The time to remove elements is approximately equivalent to or shorter than the time to install them.</t>
  </si>
  <si>
    <t xml:space="preserve">Confirm that the elements counted towards ILC b.iii in the design stage were installed according to the reuse criteria: </t>
  </si>
  <si>
    <t xml:space="preserve">Provide proof, such as a photo, that a physical copy of the Deconstruction Plan is located within the building. Enter file names into sheet '5. Submission Docs.'. </t>
  </si>
  <si>
    <t xml:space="preserve">Confirm that the file name of the submitted Deconstruction Plan has been entered into sheet '5. Submission Docs.'. </t>
  </si>
  <si>
    <t>Conversion factor</t>
  </si>
  <si>
    <t>Conversion units</t>
  </si>
  <si>
    <t>From board feet to kg</t>
  </si>
  <si>
    <t>From cubic feet to kg</t>
  </si>
  <si>
    <t xml:space="preserve">Name entity receiving the material, or describe how material is being reused: </t>
  </si>
  <si>
    <r>
      <rPr>
        <b/>
        <sz val="10"/>
        <color theme="0" tint="-0.14999847407452621"/>
        <rFont val="Arial"/>
        <family val="2"/>
      </rPr>
      <t>Note:</t>
    </r>
    <r>
      <rPr>
        <sz val="10"/>
        <color theme="0" tint="-0.14999847407452621"/>
        <rFont val="Arial"/>
        <family val="2"/>
      </rPr>
      <t xml:space="preserve"> A material may be included in either Calculation Method but not both. </t>
    </r>
  </si>
  <si>
    <t xml:space="preserve">■ Industry Leadership Credits can optionally be claimed to relax the Embodied Carbon Limit if the project Reports Additional Information or Implements Material Reuse Practices. 
■ Details can be found in Appendix I of the City of Vancouver Addendum to the National wbLCA Practitioner's Guide. https://vancouver.ca/files/cov/embodied-carbon-vancouver-addendum-appendic-industry-leadership-credits.pdf
■ Indicate if Industry Leadership Credits are being pursued below. If yes, complete the instructions provided on sheet '7. ILCs - Design'. </t>
  </si>
  <si>
    <t xml:space="preserve">Does the project include Short Cycle Biogenic Materials in the design? </t>
  </si>
  <si>
    <t xml:space="preserve">Input to this sheet is NOT required if either a), Biogenic Carbon from the software tool is not being reported, or b) Short Cycle Biogenic Carbon is not being included for compliance. 
See the Carbon Storage section in sheet '3. EC Modelling Info' (row 86). </t>
  </si>
  <si>
    <t>Input to this sheet is NOT required if Industry Leadership Credits are not pursued. 
See the Industry Leadership Credit seciton on sheet '3. EC Modelling Info' (row 116).</t>
  </si>
  <si>
    <t>Version 2.0
Updated: 2025-10-02</t>
  </si>
  <si>
    <t>Updated: 2025-10-02</t>
  </si>
  <si>
    <t xml:space="preserve">The below credits encourage wbLCA scope expansion and accuracy. Select "Yes" in the drop-down menu if pursuing a particular ILC. </t>
  </si>
  <si>
    <t xml:space="preserve">The below credits encourage reuse of materials. Details of the requirements can be found in Appendix I of the City of Vancouver Addendum to the National wbLCA Practitioner's Guide. Select "Yes" in the drop-down menu if pursuing a particular ILC. </t>
  </si>
  <si>
    <t>Sample Project</t>
  </si>
  <si>
    <t xml:space="preserve">123 st. </t>
  </si>
  <si>
    <t>A9A 9A9</t>
  </si>
  <si>
    <t>ABC Company</t>
  </si>
  <si>
    <t>John D.</t>
  </si>
  <si>
    <t>JD@ABC.ca</t>
  </si>
  <si>
    <t xml:space="preserve">Light frame wood structure prioritized to reduce embodied carbon. </t>
  </si>
  <si>
    <t>Test Project_Proposed_BoM</t>
  </si>
  <si>
    <t>Test Project_Proposed_LCA A-C</t>
  </si>
  <si>
    <t>Test Project_Proposed_LCS</t>
  </si>
  <si>
    <t xml:space="preserve">The interior construction analysis was completed using Athena because the building wbLCA was also completed in the same tool and the necessary EPDs were available. Data was gathered from the BIM model. The results show a 3% contribution above the structure and enclosure elements. 
The model didn't differentiate between load bearing and non-load bearing elements. Adjustments to the BoM  provided by the BIM, using the structural drawings, was necessary prior to import to One Click LCA. </t>
  </si>
  <si>
    <t>AA-25gx</t>
  </si>
  <si>
    <t>28 day curing time, parkade slab</t>
  </si>
  <si>
    <t>AA-30px</t>
  </si>
  <si>
    <t>25 Mpa in 15 hrs., beams, walls</t>
  </si>
  <si>
    <t>AA-35gx</t>
  </si>
  <si>
    <t>Transfer slab, crane bucket placement</t>
  </si>
  <si>
    <t>AA-40px</t>
  </si>
  <si>
    <t>Columns, pumping placement</t>
  </si>
  <si>
    <t xml:space="preserve">From Vancouver plant to project site via concrete mixing truck. All concrete tracked. </t>
  </si>
  <si>
    <t xml:space="preserve">From Supply Depot Ltd. to project site via flat-bed truck. Transport to Supply Depot Ltd. not known. </t>
  </si>
  <si>
    <t>Delivered by Drywall Direct Ltd. Supplier tracking systems vary and are not integrated with site-level inventory tools.</t>
  </si>
  <si>
    <t xml:space="preserve">Supply Depot Ltd. to project site. Software tool accounted for distance between site and manufacturing location, where only the last leg is represented below. </t>
  </si>
  <si>
    <t>Construction Manager</t>
  </si>
  <si>
    <t>Test @co.com</t>
  </si>
  <si>
    <t xml:space="preserve">Drywall Direct ltd. </t>
  </si>
  <si>
    <t>Drop off</t>
  </si>
  <si>
    <t>Coquitlam / site</t>
  </si>
  <si>
    <t xml:space="preserve">Suply Depot Ltd. </t>
  </si>
  <si>
    <t>Vancouver / site</t>
  </si>
  <si>
    <t xml:space="preserve">SteelLine Supply Ltd. </t>
  </si>
  <si>
    <t>Maple Ridge / site</t>
  </si>
  <si>
    <t>MetroMix Ltd</t>
  </si>
  <si>
    <t>Drop off 35 Mpa Mix concrete</t>
  </si>
  <si>
    <t>Vancouver Plant / site</t>
  </si>
  <si>
    <t>ThermaSource Depot</t>
  </si>
  <si>
    <t>Langley / site</t>
  </si>
  <si>
    <t xml:space="preserve">The total as-built transportation emissions shall be reported in the below evaluation section. </t>
  </si>
  <si>
    <t>Test Construction Manager</t>
  </si>
  <si>
    <t>test @co.com</t>
  </si>
  <si>
    <t>Temp Power Consumption</t>
  </si>
  <si>
    <t>Electricity Bill, GC, Sub</t>
  </si>
  <si>
    <t xml:space="preserve">Fuel for Msc Equipment </t>
  </si>
  <si>
    <t>Sub reciept to fill diesel jerry cans</t>
  </si>
  <si>
    <t>Demolition waste transport</t>
  </si>
  <si>
    <t>Sub tracking, transfer station reciept</t>
  </si>
  <si>
    <t>Site to South Van Transfer Station</t>
  </si>
  <si>
    <t>Mixed waste - Landfill</t>
  </si>
  <si>
    <t>Sub tracking, receiving station reciept</t>
  </si>
  <si>
    <t>Site to GXY Co.</t>
  </si>
  <si>
    <t>Mixed Metals - Recycled</t>
  </si>
  <si>
    <t xml:space="preserve">Example Text: Temporary site power was the most contributing emissions source. Waste transport to general waste processing facility (landfill) occurs after drop off at GXY Co. and the exact location varies based on market conditions. Tracking was completed to GXY Co. facility and not beyond. </t>
  </si>
  <si>
    <t>Electricity Bill</t>
  </si>
  <si>
    <t xml:space="preserve">Msc. Equipment Use. </t>
  </si>
  <si>
    <t xml:space="preserve">Subtrade reciepts submitted, 123 Forming Inc. </t>
  </si>
  <si>
    <t>Site office heating</t>
  </si>
  <si>
    <t>GC Utility Bill - Nov-Dec 2024</t>
  </si>
  <si>
    <t xml:space="preserve">Example Text: Subtrade tool use was the most contributing emisisonss source. The use of tools for which activity on site for the construction of which building elements was not tracked and warrents further investigaiton. </t>
  </si>
  <si>
    <t>Recycling transport</t>
  </si>
  <si>
    <t xml:space="preserve">GXY Co. reciept </t>
  </si>
  <si>
    <t xml:space="preserve">Site to GXY Co. </t>
  </si>
  <si>
    <t>Cardboard - Recycled</t>
  </si>
  <si>
    <t>2025-09-80</t>
  </si>
  <si>
    <t>Metals - Recycled</t>
  </si>
  <si>
    <t xml:space="preserve">Example Text: Temporary site power was the most contributing emissions source. Waste transport to general waste processing facility (landfill) occurs after drop off at GXY Co. and the exact location varies based on market conditions. Tracking was only completed to GXY Co. facility. </t>
  </si>
  <si>
    <r>
      <t xml:space="preserve">Error 05: Specify the </t>
    </r>
    <r>
      <rPr>
        <b/>
        <sz val="11"/>
        <rFont val="Calibri"/>
        <family val="2"/>
        <scheme val="minor"/>
      </rPr>
      <t>proposed</t>
    </r>
    <r>
      <rPr>
        <sz val="11"/>
        <rFont val="Calibri"/>
        <family val="2"/>
        <scheme val="minor"/>
      </rPr>
      <t xml:space="preserve"> design emissions from </t>
    </r>
    <r>
      <rPr>
        <b/>
        <sz val="11"/>
        <rFont val="Calibri"/>
        <family val="2"/>
        <scheme val="minor"/>
      </rPr>
      <t>all</t>
    </r>
    <r>
      <rPr>
        <sz val="11"/>
        <rFont val="Calibri"/>
        <family val="2"/>
        <scheme val="minor"/>
      </rPr>
      <t xml:space="preserve"> the </t>
    </r>
    <r>
      <rPr>
        <b/>
        <sz val="11"/>
        <rFont val="Calibri"/>
        <family val="2"/>
        <scheme val="minor"/>
      </rPr>
      <t>required + optional</t>
    </r>
    <r>
      <rPr>
        <sz val="11"/>
        <rFont val="Calibri"/>
        <family val="2"/>
        <scheme val="minor"/>
      </rPr>
      <t xml:space="preserve"> elements, below in the "Results" section in Column H. </t>
    </r>
  </si>
  <si>
    <r>
      <t xml:space="preserve">Error 06: Specify the </t>
    </r>
    <r>
      <rPr>
        <b/>
        <sz val="11"/>
        <rFont val="Calibri"/>
        <family val="2"/>
        <scheme val="minor"/>
      </rPr>
      <t>proposed</t>
    </r>
    <r>
      <rPr>
        <sz val="11"/>
        <rFont val="Calibri"/>
        <family val="2"/>
        <scheme val="minor"/>
      </rPr>
      <t xml:space="preserve"> design emissions from </t>
    </r>
    <r>
      <rPr>
        <b/>
        <sz val="11"/>
        <rFont val="Calibri"/>
        <family val="2"/>
        <scheme val="minor"/>
      </rPr>
      <t>required + optional elements included in compliance</t>
    </r>
    <r>
      <rPr>
        <sz val="11"/>
        <rFont val="Calibri"/>
        <family val="2"/>
        <scheme val="minor"/>
      </rPr>
      <t xml:space="preserve">, below in the "Results" section in  Column G. </t>
    </r>
  </si>
  <si>
    <r>
      <t xml:space="preserve">Error 07: Specify the </t>
    </r>
    <r>
      <rPr>
        <b/>
        <sz val="11"/>
        <rFont val="Calibri"/>
        <family val="2"/>
        <scheme val="minor"/>
      </rPr>
      <t>proposed</t>
    </r>
    <r>
      <rPr>
        <sz val="11"/>
        <rFont val="Calibri"/>
        <family val="2"/>
        <scheme val="minor"/>
      </rPr>
      <t xml:space="preserve"> design emissions from the </t>
    </r>
    <r>
      <rPr>
        <b/>
        <sz val="11"/>
        <rFont val="Calibri"/>
        <family val="2"/>
        <scheme val="minor"/>
      </rPr>
      <t>required elements</t>
    </r>
    <r>
      <rPr>
        <sz val="11"/>
        <rFont val="Calibri"/>
        <family val="2"/>
        <scheme val="minor"/>
      </rPr>
      <t xml:space="preserve">, in the "Results" section in Column E. </t>
    </r>
  </si>
  <si>
    <r>
      <t xml:space="preserve">Error 08: Specify the  </t>
    </r>
    <r>
      <rPr>
        <b/>
        <sz val="11"/>
        <rFont val="Calibri"/>
        <family val="2"/>
        <scheme val="minor"/>
      </rPr>
      <t>baseline</t>
    </r>
    <r>
      <rPr>
        <sz val="11"/>
        <rFont val="Calibri"/>
        <family val="2"/>
        <scheme val="minor"/>
      </rPr>
      <t xml:space="preserve"> emissions from </t>
    </r>
    <r>
      <rPr>
        <b/>
        <sz val="11"/>
        <rFont val="Calibri"/>
        <family val="2"/>
        <scheme val="minor"/>
      </rPr>
      <t>all the required+optional elements</t>
    </r>
    <r>
      <rPr>
        <sz val="11"/>
        <rFont val="Calibri"/>
        <family val="2"/>
        <scheme val="minor"/>
      </rPr>
      <t xml:space="preserve">, belowin the "Results" section in Column H. </t>
    </r>
  </si>
  <si>
    <r>
      <t xml:space="preserve">Error 09: Specify the </t>
    </r>
    <r>
      <rPr>
        <b/>
        <sz val="11"/>
        <rFont val="Calibri"/>
        <family val="2"/>
        <scheme val="minor"/>
      </rPr>
      <t>baseline</t>
    </r>
    <r>
      <rPr>
        <sz val="11"/>
        <rFont val="Calibri"/>
        <family val="2"/>
        <scheme val="minor"/>
      </rPr>
      <t xml:space="preserve"> emissions from the </t>
    </r>
    <r>
      <rPr>
        <b/>
        <sz val="11"/>
        <rFont val="Calibri"/>
        <family val="2"/>
        <scheme val="minor"/>
      </rPr>
      <t>required + optional elements included in compliance</t>
    </r>
    <r>
      <rPr>
        <sz val="11"/>
        <rFont val="Calibri"/>
        <family val="2"/>
        <scheme val="minor"/>
      </rPr>
      <t xml:space="preserve">, below in the "Results" section in Column G. </t>
    </r>
  </si>
  <si>
    <r>
      <t xml:space="preserve">Error 10: Specify the </t>
    </r>
    <r>
      <rPr>
        <b/>
        <sz val="11"/>
        <rFont val="Calibri"/>
        <family val="2"/>
        <scheme val="minor"/>
      </rPr>
      <t>baseline</t>
    </r>
    <r>
      <rPr>
        <sz val="11"/>
        <rFont val="Calibri"/>
        <family val="2"/>
        <scheme val="minor"/>
      </rPr>
      <t xml:space="preserve"> design emissions from the </t>
    </r>
    <r>
      <rPr>
        <b/>
        <sz val="11"/>
        <rFont val="Calibri"/>
        <family val="2"/>
        <scheme val="minor"/>
      </rPr>
      <t>required elements</t>
    </r>
    <r>
      <rPr>
        <sz val="11"/>
        <rFont val="Calibri"/>
        <family val="2"/>
        <scheme val="minor"/>
      </rPr>
      <t xml:space="preserve">, below in the "Results" section in Column E. </t>
    </r>
  </si>
  <si>
    <t>Building elements permitted to include Short Cycle Biogenic Materials, other than substructure and shell (i.e., structure and enclosure), for compliance assessment:</t>
  </si>
  <si>
    <t>Provide documentation to demonstrate the building as constructed was relocated, such as oversize truck permits, photos of the building being relocated, and/or receipts from the building relocation company. List the file name in sheet '5. Submisison Docs.'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</si>
</sst>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yyyy\-mm\-dd;@"/>
    <numFmt numFmtId="165" formatCode="_(* #,##0_);_(* \(#,##0\);_(* &quot;-&quot;??_);_(@_)"/>
    <numFmt numFmtId="166" formatCode="_(* #,##0.0_);_(* \(#,##0.0\);_(* &quot;-&quot;??_);_(@_)"/>
    <numFmt numFmtId="167" formatCode="0.0"/>
    <numFmt numFmtId="168" formatCode="0.000"/>
    <numFmt numFmtId="169" formatCode="#,##0.0"/>
    <numFmt numFmtId="170" formatCode="_(* #,##0.000_);_(* \(#,##0.000\);_(* &quot;-&quot;??_);_(@_)"/>
    <numFmt numFmtId="171" formatCode="0_);\(0\)"/>
    <numFmt numFmtId="172" formatCode="0.0%"/>
    <numFmt numFmtId="173" formatCode="#,##0.000"/>
  </numFmts>
  <fonts count="132">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
      <sz val="11"/>
      <name val="Calibri"/>
      <family val="2"/>
    </font>
    <font>
      <sz val="9.9499999999999993"/>
      <color rgb="FF000000"/>
      <name val="Arial"/>
      <family val="2"/>
    </font>
    <font>
      <sz val="9.9499999999999993"/>
      <color rgb="FF000000"/>
      <name val="Helvetica"/>
      <family val="2"/>
    </font>
    <font>
      <sz val="9.9499999999999993"/>
      <color rgb="FF3D3D3D"/>
      <name val="Arial"/>
      <family val="2"/>
    </font>
    <font>
      <sz val="9.9499999999999993"/>
      <name val="Arial"/>
      <family val="2"/>
    </font>
    <font>
      <sz val="9.9499999999999993"/>
      <name val="Helvetica"/>
      <family val="2"/>
    </font>
    <font>
      <sz val="11"/>
      <name val="Calibri"/>
      <family val="2"/>
      <scheme val="minor"/>
    </font>
    <font>
      <b/>
      <sz val="9.9499999999999993"/>
      <color rgb="FF3D3D3D"/>
      <name val="Arial"/>
      <family val="2"/>
    </font>
    <font>
      <b/>
      <sz val="11"/>
      <color theme="0"/>
      <name val="Calibri"/>
      <family val="2"/>
      <scheme val="minor"/>
    </font>
    <font>
      <sz val="11"/>
      <color rgb="FFFF0000"/>
      <name val="Calibri"/>
      <family val="2"/>
      <scheme val="minor"/>
    </font>
    <font>
      <b/>
      <sz val="11"/>
      <name val="Calibri"/>
      <family val="2"/>
      <scheme val="minor"/>
    </font>
    <font>
      <b/>
      <sz val="11"/>
      <color rgb="FFFF0000"/>
      <name val="Calibri"/>
      <family val="2"/>
      <scheme val="minor"/>
    </font>
    <font>
      <sz val="11"/>
      <name val="Helvetica"/>
      <family val="2"/>
    </font>
    <font>
      <i/>
      <sz val="11"/>
      <name val="Calibri"/>
      <family val="2"/>
      <scheme val="minor"/>
    </font>
    <font>
      <sz val="11"/>
      <color rgb="FF7030A0"/>
      <name val="Calibri"/>
      <family val="2"/>
      <scheme val="minor"/>
    </font>
    <font>
      <sz val="10"/>
      <color theme="1"/>
      <name val="Arial"/>
      <family val="2"/>
    </font>
    <font>
      <b/>
      <sz val="10"/>
      <color theme="1"/>
      <name val="Arial"/>
      <family val="2"/>
    </font>
    <font>
      <b/>
      <sz val="14"/>
      <color theme="1"/>
      <name val="Arial"/>
      <family val="2"/>
    </font>
    <font>
      <b/>
      <sz val="9"/>
      <color indexed="81"/>
      <name val="Tahoma"/>
      <family val="2"/>
    </font>
    <font>
      <sz val="9"/>
      <color indexed="81"/>
      <name val="Tahoma"/>
      <family val="2"/>
    </font>
    <font>
      <vertAlign val="superscript"/>
      <sz val="10"/>
      <color theme="1"/>
      <name val="Arial"/>
      <family val="2"/>
    </font>
    <font>
      <sz val="10"/>
      <color rgb="FFC00000"/>
      <name val="Arial"/>
      <family val="2"/>
    </font>
    <font>
      <i/>
      <sz val="9"/>
      <color theme="1" tint="0.34998626667073579"/>
      <name val="Arial"/>
      <family val="2"/>
    </font>
    <font>
      <sz val="10"/>
      <name val="Arial"/>
      <family val="2"/>
    </font>
    <font>
      <b/>
      <sz val="10"/>
      <name val="Arial"/>
      <family val="2"/>
    </font>
    <font>
      <b/>
      <sz val="12"/>
      <color theme="1"/>
      <name val="Arial"/>
      <family val="2"/>
    </font>
    <font>
      <i/>
      <sz val="9"/>
      <color indexed="81"/>
      <name val="Tahoma"/>
      <family val="2"/>
    </font>
    <font>
      <b/>
      <i/>
      <sz val="9"/>
      <color indexed="81"/>
      <name val="Tahoma"/>
      <family val="2"/>
    </font>
    <font>
      <sz val="10"/>
      <color theme="1" tint="0.34998626667073579"/>
      <name val="Arial"/>
      <family val="2"/>
    </font>
    <font>
      <sz val="11"/>
      <color rgb="FFC00000"/>
      <name val="Calibri"/>
      <family val="2"/>
      <scheme val="minor"/>
    </font>
    <font>
      <vertAlign val="subscript"/>
      <sz val="11"/>
      <color theme="1"/>
      <name val="Calibri"/>
      <family val="2"/>
      <scheme val="minor"/>
    </font>
    <font>
      <i/>
      <sz val="10"/>
      <color theme="1" tint="0.34998626667073579"/>
      <name val="Arial"/>
      <family val="2"/>
    </font>
    <font>
      <b/>
      <sz val="10"/>
      <color theme="0"/>
      <name val="Arial"/>
      <family val="2"/>
    </font>
    <font>
      <b/>
      <sz val="16"/>
      <color theme="0"/>
      <name val="Calibri"/>
      <family val="2"/>
      <scheme val="minor"/>
    </font>
    <font>
      <b/>
      <sz val="12"/>
      <color theme="0"/>
      <name val="Arial"/>
      <family val="2"/>
    </font>
    <font>
      <sz val="8"/>
      <color rgb="FFC00000"/>
      <name val="Arial"/>
      <family val="2"/>
    </font>
    <font>
      <b/>
      <vertAlign val="subscript"/>
      <sz val="11"/>
      <color theme="1"/>
      <name val="Calibri"/>
      <family val="2"/>
      <scheme val="minor"/>
    </font>
    <font>
      <sz val="9"/>
      <name val="Arial"/>
      <family val="2"/>
    </font>
    <font>
      <sz val="9"/>
      <color theme="1" tint="0.499984740745262"/>
      <name val="Arial"/>
      <family val="2"/>
    </font>
    <font>
      <b/>
      <sz val="10"/>
      <color theme="1" tint="0.499984740745262"/>
      <name val="Arial"/>
      <family val="2"/>
    </font>
    <font>
      <sz val="11"/>
      <color theme="1" tint="0.499984740745262"/>
      <name val="Calibri"/>
      <family val="2"/>
      <scheme val="minor"/>
    </font>
    <font>
      <b/>
      <sz val="11"/>
      <color theme="0"/>
      <name val="Arial"/>
      <family val="2"/>
    </font>
    <font>
      <b/>
      <sz val="10"/>
      <color rgb="FF7030A0"/>
      <name val="Arial"/>
      <family val="2"/>
    </font>
    <font>
      <b/>
      <sz val="12"/>
      <name val="Calibri"/>
      <family val="2"/>
      <scheme val="minor"/>
    </font>
    <font>
      <sz val="10"/>
      <color theme="1" tint="0.499984740745262"/>
      <name val="Arial"/>
      <family val="2"/>
    </font>
    <font>
      <sz val="9"/>
      <color rgb="FF000000"/>
      <name val="Tahoma"/>
      <family val="2"/>
    </font>
    <font>
      <i/>
      <sz val="9"/>
      <color rgb="FF000000"/>
      <name val="Tahoma"/>
      <family val="2"/>
    </font>
    <font>
      <u/>
      <sz val="11"/>
      <color theme="10"/>
      <name val="Calibri"/>
      <family val="2"/>
      <scheme val="minor"/>
    </font>
    <font>
      <sz val="11"/>
      <color theme="5" tint="-0.499984740745262"/>
      <name val="Calibri"/>
      <family val="2"/>
      <scheme val="minor"/>
    </font>
    <font>
      <sz val="11"/>
      <color theme="9"/>
      <name val="Calibri"/>
      <family val="2"/>
      <scheme val="minor"/>
    </font>
    <font>
      <sz val="9"/>
      <color theme="1"/>
      <name val="Arial"/>
      <family val="2"/>
    </font>
    <font>
      <sz val="9"/>
      <color theme="1" tint="0.34998626667073579"/>
      <name val="Arial"/>
      <family val="2"/>
    </font>
    <font>
      <sz val="10"/>
      <name val="Calibri"/>
      <family val="2"/>
      <scheme val="minor"/>
    </font>
    <font>
      <b/>
      <sz val="11"/>
      <color theme="1" tint="0.499984740745262"/>
      <name val="Calibri"/>
      <family val="2"/>
      <scheme val="minor"/>
    </font>
    <font>
      <vertAlign val="subscript"/>
      <sz val="11"/>
      <color theme="1" tint="0.499984740745262"/>
      <name val="Calibri"/>
      <family val="2"/>
      <scheme val="minor"/>
    </font>
    <font>
      <vertAlign val="superscript"/>
      <sz val="11"/>
      <color theme="1" tint="0.499984740745262"/>
      <name val="Calibri"/>
      <family val="2"/>
      <scheme val="minor"/>
    </font>
    <font>
      <sz val="12"/>
      <color theme="1"/>
      <name val="Arial"/>
      <family val="2"/>
    </font>
    <font>
      <sz val="10"/>
      <color theme="0"/>
      <name val="Arial"/>
      <family val="2"/>
    </font>
    <font>
      <vertAlign val="subscript"/>
      <sz val="10"/>
      <color theme="0"/>
      <name val="Arial"/>
      <family val="2"/>
    </font>
    <font>
      <vertAlign val="superscript"/>
      <sz val="10"/>
      <color theme="0"/>
      <name val="Arial"/>
      <family val="2"/>
    </font>
    <font>
      <sz val="11"/>
      <color rgb="FF00B050"/>
      <name val="Calibri"/>
      <family val="2"/>
      <scheme val="minor"/>
    </font>
    <font>
      <b/>
      <sz val="11"/>
      <color theme="1"/>
      <name val="Calibri"/>
      <family val="2"/>
      <scheme val="minor"/>
    </font>
    <font>
      <sz val="11"/>
      <color theme="4"/>
      <name val="Calibri"/>
      <family val="2"/>
      <scheme val="minor"/>
    </font>
    <font>
      <sz val="11"/>
      <color rgb="FF0070C0"/>
      <name val="Calibri"/>
      <family val="2"/>
      <scheme val="minor"/>
    </font>
    <font>
      <sz val="8"/>
      <name val="Calibri"/>
      <family val="2"/>
      <scheme val="minor"/>
    </font>
    <font>
      <b/>
      <sz val="9"/>
      <name val="Gotham-Medium"/>
    </font>
    <font>
      <sz val="11"/>
      <color theme="0" tint="-0.14999847407452621"/>
      <name val="Calibri"/>
      <family val="2"/>
      <scheme val="minor"/>
    </font>
    <font>
      <b/>
      <sz val="10"/>
      <color theme="0" tint="-0.14999847407452621"/>
      <name val="Arial"/>
      <family val="2"/>
    </font>
    <font>
      <b/>
      <sz val="9"/>
      <color theme="1" tint="0.34998626667073579"/>
      <name val="Arial"/>
      <family val="2"/>
    </font>
    <font>
      <sz val="10"/>
      <color rgb="FFFF0000"/>
      <name val="Arial"/>
      <family val="2"/>
    </font>
    <font>
      <sz val="8"/>
      <color rgb="FF000000"/>
      <name val="Calibri"/>
      <family val="2"/>
    </font>
    <font>
      <b/>
      <vertAlign val="subscript"/>
      <sz val="10"/>
      <color theme="0"/>
      <name val="Arial"/>
      <family val="2"/>
    </font>
    <font>
      <sz val="12"/>
      <color theme="1"/>
      <name val="Consolas"/>
      <family val="3"/>
    </font>
    <font>
      <sz val="12"/>
      <color theme="1"/>
      <name val="Consolas"/>
      <family val="3"/>
    </font>
    <font>
      <sz val="12"/>
      <color rgb="FF3F3F3F"/>
      <name val="Calibri"/>
      <family val="2"/>
    </font>
    <font>
      <sz val="12"/>
      <color theme="1"/>
      <name val="Calibri"/>
      <family val="2"/>
    </font>
    <font>
      <b/>
      <sz val="12"/>
      <color rgb="FF3F3F3F"/>
      <name val="Calibri"/>
      <family val="2"/>
    </font>
    <font>
      <vertAlign val="superscript"/>
      <sz val="11"/>
      <color theme="1"/>
      <name val="Calibri"/>
      <family val="2"/>
      <scheme val="minor"/>
    </font>
    <font>
      <sz val="12"/>
      <color rgb="FF3F3F3F"/>
      <name val="Calibri"/>
      <family val="2"/>
    </font>
    <font>
      <sz val="10"/>
      <color theme="1"/>
      <name val="Consolas"/>
      <family val="3"/>
    </font>
    <font>
      <sz val="10"/>
      <color theme="1"/>
      <name val="Arial"/>
      <family val="2"/>
    </font>
    <font>
      <sz val="12"/>
      <color theme="1"/>
      <name val="Calibri"/>
      <family val="2"/>
    </font>
    <font>
      <b/>
      <sz val="12"/>
      <color theme="1"/>
      <name val="Calibri"/>
      <family val="2"/>
    </font>
    <font>
      <b/>
      <sz val="10"/>
      <color theme="1"/>
      <name val="Arial"/>
      <family val="2"/>
    </font>
    <font>
      <sz val="10"/>
      <color theme="1"/>
      <name val="Calibri"/>
      <family val="2"/>
    </font>
    <font>
      <b/>
      <sz val="12"/>
      <color theme="0" tint="-0.14999847407452621"/>
      <name val="Arial"/>
      <family val="2"/>
    </font>
    <font>
      <b/>
      <vertAlign val="subscript"/>
      <sz val="10"/>
      <color theme="1"/>
      <name val="Arial"/>
      <family val="2"/>
    </font>
    <font>
      <sz val="12"/>
      <color theme="0" tint="-0.14999847407452621"/>
      <name val="Arial"/>
      <family val="2"/>
    </font>
    <font>
      <b/>
      <i/>
      <sz val="10"/>
      <color theme="1"/>
      <name val="Arial"/>
      <family val="2"/>
    </font>
    <font>
      <b/>
      <i/>
      <vertAlign val="subscript"/>
      <sz val="10"/>
      <color theme="1"/>
      <name val="Arial"/>
      <family val="2"/>
    </font>
    <font>
      <b/>
      <vertAlign val="superscript"/>
      <sz val="11"/>
      <name val="Calibri"/>
      <family val="2"/>
      <scheme val="minor"/>
    </font>
    <font>
      <b/>
      <vertAlign val="subscript"/>
      <sz val="11"/>
      <name val="Calibri"/>
      <family val="2"/>
      <scheme val="minor"/>
    </font>
    <font>
      <sz val="11"/>
      <color theme="1" tint="0.34998626667073579"/>
      <name val="Calibri"/>
      <family val="2"/>
      <scheme val="minor"/>
    </font>
    <font>
      <b/>
      <sz val="11"/>
      <color theme="1" tint="0.34998626667073579"/>
      <name val="Calibri"/>
      <family val="2"/>
      <scheme val="minor"/>
    </font>
    <font>
      <b/>
      <vertAlign val="subscript"/>
      <sz val="10"/>
      <name val="Arial"/>
      <family val="2"/>
    </font>
    <font>
      <b/>
      <vertAlign val="superscript"/>
      <sz val="10"/>
      <name val="Arial"/>
      <family val="2"/>
    </font>
    <font>
      <sz val="10"/>
      <color theme="0" tint="-0.14999847407452621"/>
      <name val="Arial"/>
      <family val="2"/>
    </font>
    <font>
      <b/>
      <vertAlign val="subscript"/>
      <sz val="10"/>
      <color theme="0"/>
      <name val="Calibri"/>
      <family val="2"/>
      <scheme val="minor"/>
    </font>
    <font>
      <b/>
      <sz val="10"/>
      <color theme="0"/>
      <name val="Calibri"/>
      <family val="2"/>
      <scheme val="minor"/>
    </font>
    <font>
      <vertAlign val="subscript"/>
      <sz val="11"/>
      <name val="Calibri"/>
      <family val="2"/>
      <scheme val="minor"/>
    </font>
    <font>
      <b/>
      <sz val="11"/>
      <color theme="0"/>
      <name val="Gotham-Book"/>
    </font>
    <font>
      <b/>
      <sz val="11"/>
      <color theme="0"/>
      <name val="Times New Roman"/>
      <family val="1"/>
    </font>
    <font>
      <sz val="11"/>
      <name val="Gotham-Book"/>
    </font>
    <font>
      <sz val="11"/>
      <name val="Arial"/>
      <family val="2"/>
    </font>
    <font>
      <sz val="11"/>
      <name val="Times New Roman"/>
      <family val="1"/>
    </font>
    <font>
      <vertAlign val="subscript"/>
      <sz val="10"/>
      <color theme="1"/>
      <name val="Arial"/>
      <family val="2"/>
    </font>
    <font>
      <i/>
      <sz val="10"/>
      <color theme="1"/>
      <name val="Arial"/>
      <family val="2"/>
    </font>
    <font>
      <i/>
      <sz val="11"/>
      <color theme="1"/>
      <name val="Calibri"/>
      <family val="2"/>
      <scheme val="minor"/>
    </font>
    <font>
      <b/>
      <sz val="11"/>
      <color theme="5"/>
      <name val="Calibri"/>
      <family val="2"/>
      <scheme val="minor"/>
    </font>
    <font>
      <vertAlign val="superscript"/>
      <sz val="11"/>
      <color theme="5"/>
      <name val="Calibri"/>
      <family val="2"/>
      <scheme val="minor"/>
    </font>
    <font>
      <sz val="11"/>
      <color theme="5"/>
      <name val="Calibri"/>
      <family val="2"/>
      <scheme val="minor"/>
    </font>
    <font>
      <b/>
      <sz val="11"/>
      <color theme="1"/>
      <name val="Calibri"/>
      <family val="2"/>
      <scheme val="minor"/>
    </font>
    <font>
      <u/>
      <sz val="11"/>
      <color rgb="FF00B050"/>
      <name val="Calibri"/>
      <family val="2"/>
      <scheme val="minor"/>
    </font>
    <font>
      <sz val="10"/>
      <color rgb="FF00B050"/>
      <name val="Arial"/>
      <family val="2"/>
    </font>
    <font>
      <sz val="12"/>
      <color theme="1"/>
      <name val="Aptos"/>
      <family val="2"/>
    </font>
    <font>
      <b/>
      <vertAlign val="superscript"/>
      <sz val="10"/>
      <color theme="1"/>
      <name val="Arial"/>
      <family val="2"/>
    </font>
    <font>
      <b/>
      <sz val="9"/>
      <name val="Gotham-Book"/>
    </font>
    <font>
      <vertAlign val="superscript"/>
      <sz val="9"/>
      <name val="Gotham-Book"/>
    </font>
    <font>
      <sz val="9"/>
      <name val="Gotham-Medium"/>
    </font>
    <font>
      <b/>
      <sz val="11"/>
      <color theme="0" tint="-0.14999847407452621"/>
      <name val="Calibri"/>
      <family val="2"/>
      <scheme val="minor"/>
    </font>
    <font>
      <b/>
      <sz val="10"/>
      <color theme="1" tint="0.34998626667073579"/>
      <name val="Arial"/>
      <family val="2"/>
    </font>
    <font>
      <b/>
      <vertAlign val="subscript"/>
      <sz val="10"/>
      <color theme="1" tint="0.34998626667073579"/>
      <name val="Arial"/>
      <family val="2"/>
    </font>
    <font>
      <b/>
      <vertAlign val="superscript"/>
      <sz val="10"/>
      <color theme="1" tint="0.34998626667073579"/>
      <name val="Arial"/>
      <family val="2"/>
    </font>
    <font>
      <b/>
      <i/>
      <sz val="10"/>
      <color theme="1" tint="0.34998626667073579"/>
      <name val="Arial"/>
      <family val="2"/>
    </font>
    <font>
      <b/>
      <i/>
      <vertAlign val="subscript"/>
      <sz val="10"/>
      <color theme="1" tint="0.34998626667073579"/>
      <name val="Arial"/>
      <family val="2"/>
    </font>
    <font>
      <b/>
      <sz val="12"/>
      <color theme="1" tint="0.34998626667073579"/>
      <name val="Arial"/>
      <family val="2"/>
    </font>
    <font>
      <i/>
      <sz val="11"/>
      <color theme="1" tint="0.499984740745262"/>
      <name val="Calibri"/>
      <family val="2"/>
      <scheme val="minor"/>
    </font>
    <font>
      <i/>
      <sz val="9"/>
      <color theme="1"/>
      <name val="Arial"/>
      <family val="2"/>
    </font>
  </fonts>
  <fills count="25">
    <fill>
      <patternFill patternType="none"/>
    </fill>
    <fill>
      <patternFill patternType="gray125"/>
    </fill>
    <fill>
      <patternFill patternType="solid">
        <fgColor theme="7" tint="0.59999389629810485"/>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theme="0" tint="-0.14996795556505021"/>
        <bgColor indexed="65"/>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002060"/>
        <bgColor indexed="64"/>
      </patternFill>
    </fill>
    <fill>
      <patternFill patternType="solid">
        <fgColor theme="1"/>
        <bgColor indexed="64"/>
      </patternFill>
    </fill>
    <fill>
      <patternFill patternType="solid">
        <fgColor theme="0" tint="-0.34998626667073579"/>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4" tint="-0.249977111117893"/>
        <bgColor indexed="64"/>
      </patternFill>
    </fill>
    <fill>
      <patternFill patternType="solid">
        <fgColor rgb="FFDDEBF7"/>
        <bgColor indexed="64"/>
      </patternFill>
    </fill>
    <fill>
      <patternFill patternType="solid">
        <fgColor theme="4" tint="0.39997558519241921"/>
        <bgColor indexed="64"/>
      </patternFill>
    </fill>
    <fill>
      <patternFill patternType="solid">
        <fgColor theme="4"/>
        <bgColor indexed="64"/>
      </patternFill>
    </fill>
    <fill>
      <patternFill patternType="solid">
        <fgColor theme="2" tint="-9.9978637043366805E-2"/>
        <bgColor indexed="64"/>
      </patternFill>
    </fill>
    <fill>
      <patternFill patternType="solid">
        <fgColor rgb="FFFFFFFF"/>
        <bgColor rgb="FFFFFFFF"/>
      </patternFill>
    </fill>
    <fill>
      <patternFill patternType="solid">
        <fgColor rgb="FFF4CCCC"/>
        <bgColor rgb="FFF4CCCC"/>
      </patternFill>
    </fill>
    <fill>
      <patternFill patternType="solid">
        <fgColor rgb="FFCEE87C"/>
        <bgColor rgb="FFCEE87C"/>
      </patternFill>
    </fill>
  </fills>
  <borders count="100">
    <border>
      <left/>
      <right/>
      <top/>
      <bottom/>
      <diagonal/>
    </border>
    <border>
      <left style="thin">
        <color indexed="64"/>
      </left>
      <right style="thin">
        <color indexed="64"/>
      </right>
      <top style="thin">
        <color indexed="64"/>
      </top>
      <bottom style="thin">
        <color indexed="64"/>
      </bottom>
      <diagonal/>
    </border>
    <border>
      <left/>
      <right style="thin">
        <color theme="5" tint="0.39997558519241921"/>
      </right>
      <top/>
      <bottom style="thin">
        <color indexed="64"/>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theme="4" tint="0.39997558519241921"/>
      </right>
      <top style="thin">
        <color indexed="64"/>
      </top>
      <bottom/>
      <diagonal/>
    </border>
    <border>
      <left style="thin">
        <color theme="4" tint="0.39997558519241921"/>
      </left>
      <right/>
      <top style="thin">
        <color indexed="64"/>
      </top>
      <bottom/>
      <diagonal/>
    </border>
    <border>
      <left/>
      <right style="thin">
        <color theme="4" tint="0.39997558519241921"/>
      </right>
      <top style="thin">
        <color indexed="64"/>
      </top>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right/>
      <top style="thin">
        <color theme="4" tint="0.39997558519241921"/>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bottom style="thin">
        <color theme="0" tint="-0.34998626667073579"/>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right/>
      <top style="thin">
        <color indexed="64"/>
      </top>
      <bottom/>
      <diagonal/>
    </border>
    <border>
      <left/>
      <right style="thin">
        <color indexed="64"/>
      </right>
      <top/>
      <bottom/>
      <diagonal/>
    </border>
    <border>
      <left/>
      <right style="thin">
        <color theme="1" tint="0.499984740745262"/>
      </right>
      <top/>
      <bottom/>
      <diagonal/>
    </border>
    <border>
      <left style="thin">
        <color theme="0" tint="-0.34998626667073579"/>
      </left>
      <right style="thin">
        <color theme="0" tint="-0.34998626667073579"/>
      </right>
      <top/>
      <bottom/>
      <diagonal/>
    </border>
    <border>
      <left/>
      <right/>
      <top style="thin">
        <color theme="0" tint="-0.34998626667073579"/>
      </top>
      <bottom/>
      <diagonal/>
    </border>
    <border>
      <left/>
      <right style="thin">
        <color theme="1" tint="0.34998626667073579"/>
      </right>
      <top style="thin">
        <color theme="1" tint="0.34998626667073579"/>
      </top>
      <bottom style="thin">
        <color theme="0" tint="-0.34998626667073579"/>
      </bottom>
      <diagonal/>
    </border>
    <border>
      <left/>
      <right style="thin">
        <color theme="1" tint="0.34998626667073579"/>
      </right>
      <top style="thin">
        <color theme="0" tint="-0.34998626667073579"/>
      </top>
      <bottom style="thin">
        <color theme="0" tint="-0.34998626667073579"/>
      </bottom>
      <diagonal/>
    </border>
    <border>
      <left/>
      <right style="thin">
        <color theme="1" tint="0.34998626667073579"/>
      </right>
      <top style="thin">
        <color theme="0" tint="-0.34998626667073579"/>
      </top>
      <bottom style="thin">
        <color theme="1" tint="0.34998626667073579"/>
      </bottom>
      <diagonal/>
    </border>
    <border>
      <left style="thin">
        <color theme="1" tint="0.34998626667073579"/>
      </left>
      <right/>
      <top style="thin">
        <color theme="0" tint="-0.34998626667073579"/>
      </top>
      <bottom style="thin">
        <color theme="0" tint="-0.34998626667073579"/>
      </bottom>
      <diagonal/>
    </border>
    <border>
      <left/>
      <right style="thin">
        <color theme="1" tint="0.34998626667073579"/>
      </right>
      <top style="thin">
        <color theme="0" tint="-0.34998626667073579"/>
      </top>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bottom style="thin">
        <color theme="1" tint="0.34998626667073579"/>
      </bottom>
      <diagonal/>
    </border>
    <border>
      <left/>
      <right/>
      <top style="thin">
        <color theme="1" tint="0.34998626667073579"/>
      </top>
      <bottom style="thin">
        <color theme="0" tint="-0.34998626667073579"/>
      </bottom>
      <diagonal/>
    </border>
    <border>
      <left/>
      <right/>
      <top style="thin">
        <color theme="0"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0" tint="-0.34998626667073579"/>
      </bottom>
      <diagonal/>
    </border>
    <border>
      <left style="thin">
        <color theme="1" tint="0.34998626667073579"/>
      </left>
      <right style="thin">
        <color theme="1" tint="0.34998626667073579"/>
      </right>
      <top style="thin">
        <color theme="0" tint="-0.34998626667073579"/>
      </top>
      <bottom style="thin">
        <color theme="0" tint="-0.34998626667073579"/>
      </bottom>
      <diagonal/>
    </border>
    <border>
      <left style="thin">
        <color theme="1" tint="0.34998626667073579"/>
      </left>
      <right style="thin">
        <color theme="1" tint="0.34998626667073579"/>
      </right>
      <top style="thin">
        <color theme="0" tint="-0.34998626667073579"/>
      </top>
      <bottom/>
      <diagonal/>
    </border>
    <border>
      <left style="thin">
        <color theme="1" tint="0.34998626667073579"/>
      </left>
      <right style="thin">
        <color theme="1" tint="0.34998626667073579"/>
      </right>
      <top style="thin">
        <color theme="0" tint="-0.34998626667073579"/>
      </top>
      <bottom style="thin">
        <color theme="1" tint="0.34998626667073579"/>
      </bottom>
      <diagonal/>
    </border>
    <border>
      <left style="thin">
        <color theme="1" tint="0.34998626667073579"/>
      </left>
      <right style="thin">
        <color theme="1" tint="0.34998626667073579"/>
      </right>
      <top/>
      <bottom style="thin">
        <color theme="0" tint="-0.34998626667073579"/>
      </bottom>
      <diagonal/>
    </border>
    <border>
      <left style="thin">
        <color theme="1" tint="0.34998626667073579"/>
      </left>
      <right/>
      <top style="thin">
        <color theme="1" tint="0.34998626667073579"/>
      </top>
      <bottom style="thin">
        <color theme="0" tint="-0.34998626667073579"/>
      </bottom>
      <diagonal/>
    </border>
    <border>
      <left style="thin">
        <color theme="1" tint="0.34998626667073579"/>
      </left>
      <right/>
      <top style="thin">
        <color theme="0" tint="-0.34998626667073579"/>
      </top>
      <bottom style="thin">
        <color theme="1" tint="0.34998626667073579"/>
      </bottom>
      <diagonal/>
    </border>
    <border>
      <left/>
      <right/>
      <top/>
      <bottom style="thin">
        <color theme="4" tint="0.39997558519241921"/>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indexed="64"/>
      </left>
      <right/>
      <top style="thin">
        <color indexed="64"/>
      </top>
      <bottom/>
      <diagonal/>
    </border>
    <border>
      <left/>
      <right/>
      <top style="thin">
        <color indexed="64"/>
      </top>
      <bottom style="thin">
        <color indexed="64"/>
      </bottom>
      <diagonal/>
    </border>
    <border>
      <left style="thin">
        <color theme="1" tint="0.34998626667073579"/>
      </left>
      <right style="thin">
        <color theme="0" tint="-0.34998626667073579"/>
      </right>
      <top style="thin">
        <color theme="1" tint="0.34998626667073579"/>
      </top>
      <bottom/>
      <diagonal/>
    </border>
    <border>
      <left style="thin">
        <color theme="0" tint="-0.34998626667073579"/>
      </left>
      <right style="thin">
        <color theme="0" tint="-0.34998626667073579"/>
      </right>
      <top style="thin">
        <color theme="1" tint="0.34998626667073579"/>
      </top>
      <bottom/>
      <diagonal/>
    </border>
    <border>
      <left style="thin">
        <color theme="0" tint="-0.34998626667073579"/>
      </left>
      <right style="thin">
        <color theme="1" tint="0.34998626667073579"/>
      </right>
      <top style="thin">
        <color theme="1" tint="0.34998626667073579"/>
      </top>
      <bottom/>
      <diagonal/>
    </border>
    <border>
      <left/>
      <right style="thin">
        <color theme="1" tint="0.34998626667073579"/>
      </right>
      <top/>
      <bottom style="thin">
        <color theme="0"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style="thin">
        <color theme="4" tint="0.39997558519241921"/>
      </left>
      <right style="thin">
        <color theme="4" tint="0.39997558519241921"/>
      </right>
      <top style="thin">
        <color indexed="64"/>
      </top>
      <bottom style="thin">
        <color theme="4" tint="0.39997558519241921"/>
      </bottom>
      <diagonal/>
    </border>
    <border>
      <left style="thin">
        <color theme="1" tint="0.499984740745262"/>
      </left>
      <right style="thin">
        <color theme="1" tint="0.499984740745262"/>
      </right>
      <top style="thin">
        <color theme="1" tint="0.499984740745262"/>
      </top>
      <bottom/>
      <diagonal/>
    </border>
    <border>
      <left/>
      <right style="thin">
        <color indexed="64"/>
      </right>
      <top style="thin">
        <color indexed="64"/>
      </top>
      <bottom/>
      <diagonal/>
    </border>
    <border>
      <left style="thin">
        <color indexed="64"/>
      </left>
      <right style="thin">
        <color theme="1" tint="0.499984740745262"/>
      </right>
      <top style="thin">
        <color theme="1" tint="0.499984740745262"/>
      </top>
      <bottom style="thin">
        <color theme="1" tint="0.499984740745262"/>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style="thin">
        <color theme="1" tint="0.499984740745262"/>
      </right>
      <top style="thin">
        <color indexed="64"/>
      </top>
      <bottom style="thin">
        <color theme="1" tint="0.499984740745262"/>
      </bottom>
      <diagonal/>
    </border>
    <border>
      <left style="thin">
        <color theme="1" tint="0.34998626667073579"/>
      </left>
      <right/>
      <top/>
      <bottom style="thin">
        <color theme="0" tint="-0.34998626667073579"/>
      </bottom>
      <diagonal/>
    </border>
    <border>
      <left/>
      <right/>
      <top/>
      <bottom style="thin">
        <color rgb="FFBFBFBF"/>
      </bottom>
      <diagonal/>
    </border>
    <border>
      <left style="medium">
        <color rgb="FFCCCCCC"/>
      </left>
      <right style="medium">
        <color rgb="FFCCCCCC"/>
      </right>
      <top style="medium">
        <color rgb="FFCCCCCC"/>
      </top>
      <bottom style="medium">
        <color rgb="FFCCCCCC"/>
      </bottom>
      <diagonal/>
    </border>
    <border>
      <left style="thin">
        <color theme="0" tint="-0.34998626667073579"/>
      </left>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4" tint="0.39997558519241921"/>
      </left>
      <right style="thin">
        <color theme="4" tint="0.39997558519241921"/>
      </right>
      <top/>
      <bottom/>
      <diagonal/>
    </border>
    <border>
      <left style="thin">
        <color theme="0" tint="-0.34998626667073579"/>
      </left>
      <right/>
      <top/>
      <bottom style="thin">
        <color theme="0" tint="-0.34998626667073579"/>
      </bottom>
      <diagonal/>
    </border>
    <border>
      <left style="thin">
        <color indexed="64"/>
      </left>
      <right/>
      <top style="thin">
        <color theme="4" tint="0.39997558519241921"/>
      </top>
      <bottom style="thin">
        <color theme="4" tint="0.39997558519241921"/>
      </bottom>
      <diagonal/>
    </border>
    <border>
      <left style="thin">
        <color theme="2" tint="-0.249977111117893"/>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right style="medium">
        <color theme="1"/>
      </right>
      <top/>
      <bottom/>
      <diagonal/>
    </border>
    <border>
      <left style="medium">
        <color theme="1"/>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
      <left/>
      <right style="thin">
        <color theme="0" tint="-0.34998626667073579"/>
      </right>
      <top style="thin">
        <color theme="0" tint="-0.499984740745262"/>
      </top>
      <bottom style="thin">
        <color theme="0" tint="-0.34998626667073579"/>
      </bottom>
      <diagonal/>
    </border>
    <border>
      <left style="thin">
        <color theme="0" tint="-0.34998626667073579"/>
      </left>
      <right/>
      <top style="thin">
        <color theme="0" tint="-0.499984740745262"/>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right/>
      <top style="thin">
        <color theme="0" tint="-0.34998626667073579"/>
      </top>
      <bottom style="medium">
        <color indexed="64"/>
      </bottom>
      <diagonal/>
    </border>
    <border>
      <left style="thin">
        <color theme="4" tint="0.39997558519241921"/>
      </left>
      <right/>
      <top style="thin">
        <color theme="4" tint="0.39997558519241921"/>
      </top>
      <bottom style="thin">
        <color theme="4" tint="0.39997558519241921"/>
      </bottom>
      <diagonal/>
    </border>
    <border>
      <left style="thin">
        <color theme="0" tint="-0.34998626667073579"/>
      </left>
      <right style="thin">
        <color theme="0" tint="-0.499984740745262"/>
      </right>
      <top style="thin">
        <color theme="0" tint="-0.34998626667073579"/>
      </top>
      <bottom style="thin">
        <color theme="0" tint="-0.34998626667073579"/>
      </bottom>
      <diagonal/>
    </border>
  </borders>
  <cellStyleXfs count="8">
    <xf numFmtId="0" fontId="0" fillId="0" borderId="0"/>
    <xf numFmtId="0" fontId="1" fillId="0" borderId="0" applyNumberFormat="0" applyFill="0" applyBorder="0" applyAlignment="0" applyProtection="0"/>
    <xf numFmtId="0" fontId="1" fillId="0" borderId="0" applyNumberFormat="0" applyFill="0" applyBorder="0" applyAlignment="0" applyProtection="0"/>
    <xf numFmtId="0" fontId="111" fillId="0" borderId="0" applyNumberForma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18" fillId="5" borderId="1" applyAlignment="0">
      <alignment wrapText="1"/>
    </xf>
    <xf numFmtId="0" fontId="51" fillId="0" borderId="0" applyNumberFormat="0" applyFill="0" applyBorder="0" applyAlignment="0" applyProtection="0"/>
  </cellStyleXfs>
  <cellXfs count="1047">
    <xf numFmtId="0" fontId="0" fillId="0" borderId="0" xfId="0"/>
    <xf numFmtId="0" fontId="19" fillId="6" borderId="0" xfId="0" applyFont="1" applyFill="1" applyBorder="1" applyAlignment="1" applyProtection="1">
      <alignment horizontal="left" vertical="top" wrapText="1"/>
    </xf>
    <xf numFmtId="0" fontId="19" fillId="6" borderId="14" xfId="0" applyFont="1" applyFill="1" applyBorder="1" applyAlignment="1" applyProtection="1">
      <alignment horizontal="right" vertical="center" wrapText="1"/>
    </xf>
    <xf numFmtId="0" fontId="29" fillId="6" borderId="0" xfId="0" applyFont="1" applyFill="1" applyBorder="1" applyAlignment="1" applyProtection="1">
      <alignment horizontal="center" vertical="center" wrapText="1"/>
    </xf>
    <xf numFmtId="0" fontId="20" fillId="0" borderId="0" xfId="0" applyFont="1" applyAlignment="1" applyProtection="1">
      <alignment vertical="center"/>
      <protection locked="0"/>
    </xf>
    <xf numFmtId="0" fontId="19" fillId="0" borderId="0" xfId="0" applyFont="1" applyProtection="1">
      <protection locked="0"/>
    </xf>
    <xf numFmtId="0" fontId="0" fillId="0" borderId="0" xfId="0" applyProtection="1">
      <protection locked="0"/>
    </xf>
    <xf numFmtId="0" fontId="20" fillId="0" borderId="0" xfId="0" applyFont="1" applyAlignment="1" applyProtection="1">
      <alignment vertical="top"/>
      <protection locked="0"/>
    </xf>
    <xf numFmtId="0" fontId="18" fillId="0" borderId="0" xfId="0" applyFont="1" applyProtection="1">
      <protection locked="0"/>
    </xf>
    <xf numFmtId="0" fontId="10" fillId="8" borderId="20" xfId="0" applyFont="1" applyFill="1" applyBorder="1" applyAlignment="1" applyProtection="1">
      <alignment horizontal="left" vertical="top" wrapText="1"/>
      <protection locked="0"/>
    </xf>
    <xf numFmtId="0" fontId="10" fillId="0" borderId="19" xfId="0" applyFont="1" applyBorder="1" applyAlignment="1" applyProtection="1">
      <alignment horizontal="left" vertical="center" wrapText="1"/>
      <protection locked="0"/>
    </xf>
    <xf numFmtId="0" fontId="10" fillId="0" borderId="19" xfId="0" applyFont="1" applyBorder="1" applyAlignment="1" applyProtection="1">
      <alignment vertical="center" wrapText="1"/>
      <protection locked="0"/>
    </xf>
    <xf numFmtId="165" fontId="10" fillId="0" borderId="23" xfId="4" applyNumberFormat="1" applyFont="1" applyBorder="1" applyAlignment="1" applyProtection="1">
      <alignment horizontal="left" vertical="top" wrapText="1"/>
      <protection locked="0"/>
    </xf>
    <xf numFmtId="165" fontId="10" fillId="0" borderId="19" xfId="4" applyNumberFormat="1" applyFont="1" applyFill="1" applyBorder="1" applyAlignment="1" applyProtection="1">
      <alignment horizontal="left" vertical="top" wrapText="1"/>
      <protection locked="0"/>
    </xf>
    <xf numFmtId="165" fontId="10" fillId="0" borderId="25" xfId="4" applyNumberFormat="1" applyFont="1" applyFill="1" applyBorder="1" applyAlignment="1" applyProtection="1">
      <alignment horizontal="left" vertical="top" wrapText="1"/>
      <protection locked="0"/>
    </xf>
    <xf numFmtId="0" fontId="10" fillId="8" borderId="19" xfId="0" applyFont="1" applyFill="1" applyBorder="1" applyAlignment="1" applyProtection="1">
      <alignment vertical="top" wrapText="1"/>
      <protection locked="0"/>
    </xf>
    <xf numFmtId="0" fontId="10" fillId="0" borderId="19" xfId="0" applyFont="1" applyBorder="1" applyAlignment="1" applyProtection="1">
      <alignment vertical="top" wrapText="1"/>
      <protection locked="0"/>
    </xf>
    <xf numFmtId="0" fontId="52" fillId="0" borderId="0" xfId="0" applyFont="1" applyAlignment="1" applyProtection="1">
      <alignment horizontal="left" vertical="top"/>
      <protection locked="0"/>
    </xf>
    <xf numFmtId="165" fontId="10" fillId="0" borderId="19" xfId="4" applyNumberFormat="1" applyFont="1" applyBorder="1" applyAlignment="1" applyProtection="1">
      <alignment horizontal="left" vertical="top" wrapText="1"/>
      <protection locked="0"/>
    </xf>
    <xf numFmtId="0" fontId="13" fillId="0" borderId="0" xfId="0" applyFont="1" applyAlignment="1" applyProtection="1">
      <alignment horizontal="left" vertical="top"/>
      <protection locked="0"/>
    </xf>
    <xf numFmtId="0" fontId="13" fillId="0" borderId="0" xfId="0" applyFont="1" applyAlignment="1" applyProtection="1">
      <alignment horizontal="left" vertical="top" wrapText="1"/>
      <protection locked="0"/>
    </xf>
    <xf numFmtId="0" fontId="10" fillId="8" borderId="50" xfId="0" applyFont="1" applyFill="1" applyBorder="1" applyAlignment="1" applyProtection="1">
      <alignment horizontal="left" vertical="top" wrapText="1"/>
      <protection locked="0"/>
    </xf>
    <xf numFmtId="165" fontId="10" fillId="7" borderId="19" xfId="4" applyNumberFormat="1" applyFont="1" applyFill="1" applyBorder="1" applyAlignment="1" applyProtection="1">
      <alignment horizontal="left" vertical="top" wrapText="1"/>
      <protection locked="0"/>
    </xf>
    <xf numFmtId="165" fontId="10" fillId="8" borderId="19" xfId="4" applyNumberFormat="1" applyFont="1" applyFill="1" applyBorder="1" applyAlignment="1" applyProtection="1">
      <alignment horizontal="left" vertical="top" wrapText="1"/>
      <protection locked="0"/>
    </xf>
    <xf numFmtId="165" fontId="10" fillId="8" borderId="23" xfId="4" applyNumberFormat="1" applyFont="1" applyFill="1" applyBorder="1" applyAlignment="1" applyProtection="1">
      <alignment horizontal="left" vertical="top" wrapText="1"/>
      <protection locked="0"/>
    </xf>
    <xf numFmtId="165" fontId="10" fillId="8" borderId="25" xfId="4" applyNumberFormat="1" applyFont="1" applyFill="1" applyBorder="1" applyAlignment="1" applyProtection="1">
      <alignment horizontal="left" vertical="top" wrapText="1"/>
      <protection locked="0"/>
    </xf>
    <xf numFmtId="0" fontId="10" fillId="8" borderId="19" xfId="0" applyFont="1" applyFill="1" applyBorder="1" applyAlignment="1" applyProtection="1">
      <alignment horizontal="left" vertical="top" wrapText="1"/>
      <protection locked="0"/>
    </xf>
    <xf numFmtId="165" fontId="10" fillId="6" borderId="19" xfId="4" applyNumberFormat="1" applyFont="1" applyFill="1" applyBorder="1" applyAlignment="1" applyProtection="1">
      <alignment horizontal="left" vertical="top" wrapText="1"/>
    </xf>
    <xf numFmtId="0" fontId="0" fillId="0" borderId="0" xfId="0" applyProtection="1"/>
    <xf numFmtId="0" fontId="0" fillId="7" borderId="0" xfId="0" applyFill="1" applyProtection="1"/>
    <xf numFmtId="0" fontId="52" fillId="0" borderId="0" xfId="0" applyFont="1" applyAlignment="1" applyProtection="1">
      <alignment horizontal="left" vertical="top"/>
    </xf>
    <xf numFmtId="0" fontId="20" fillId="6" borderId="11" xfId="0" applyFont="1" applyFill="1" applyBorder="1" applyAlignment="1" applyProtection="1">
      <alignment horizontal="center" vertical="center" wrapText="1"/>
    </xf>
    <xf numFmtId="0" fontId="20" fillId="0" borderId="0" xfId="0" applyFont="1" applyAlignment="1" applyProtection="1">
      <alignment vertical="center"/>
    </xf>
    <xf numFmtId="0" fontId="19" fillId="0" borderId="0" xfId="0" applyFont="1" applyProtection="1"/>
    <xf numFmtId="0" fontId="20" fillId="6" borderId="14" xfId="0" applyFont="1" applyFill="1" applyBorder="1" applyAlignment="1" applyProtection="1">
      <alignment horizontal="center" vertical="center"/>
    </xf>
    <xf numFmtId="0" fontId="19" fillId="6" borderId="0" xfId="0" applyFont="1" applyFill="1" applyAlignment="1" applyProtection="1">
      <alignment vertical="center"/>
    </xf>
    <xf numFmtId="0" fontId="42" fillId="6" borderId="0" xfId="0" applyFont="1" applyFill="1" applyAlignment="1" applyProtection="1">
      <alignment horizontal="right"/>
    </xf>
    <xf numFmtId="0" fontId="19" fillId="6" borderId="15" xfId="0" applyFont="1" applyFill="1" applyBorder="1" applyAlignment="1" applyProtection="1">
      <alignment vertical="center"/>
    </xf>
    <xf numFmtId="0" fontId="13" fillId="0" borderId="0" xfId="0" applyFont="1" applyAlignment="1" applyProtection="1">
      <alignment horizontal="left" vertical="top"/>
    </xf>
    <xf numFmtId="0" fontId="29" fillId="6" borderId="14" xfId="0" applyFont="1" applyFill="1" applyBorder="1" applyAlignment="1" applyProtection="1">
      <alignment horizontal="center" vertical="top"/>
    </xf>
    <xf numFmtId="0" fontId="29" fillId="6" borderId="0" xfId="0" applyFont="1" applyFill="1" applyAlignment="1" applyProtection="1">
      <alignment vertical="top"/>
    </xf>
    <xf numFmtId="0" fontId="42" fillId="6" borderId="0" xfId="0" applyFont="1" applyFill="1" applyAlignment="1" applyProtection="1">
      <alignment horizontal="right" vertical="top"/>
    </xf>
    <xf numFmtId="0" fontId="29" fillId="6" borderId="15" xfId="0" applyFont="1" applyFill="1" applyBorder="1" applyAlignment="1" applyProtection="1">
      <alignment vertical="top"/>
    </xf>
    <xf numFmtId="0" fontId="19" fillId="6" borderId="14" xfId="0" applyFont="1" applyFill="1" applyBorder="1" applyAlignment="1" applyProtection="1">
      <alignment horizontal="right"/>
    </xf>
    <xf numFmtId="0" fontId="19" fillId="6" borderId="17" xfId="0" applyFont="1" applyFill="1" applyBorder="1" applyAlignment="1" applyProtection="1">
      <alignment horizontal="right"/>
    </xf>
    <xf numFmtId="0" fontId="19" fillId="6" borderId="17" xfId="0" applyFont="1" applyFill="1" applyBorder="1" applyAlignment="1" applyProtection="1">
      <alignment horizontal="left"/>
    </xf>
    <xf numFmtId="0" fontId="19" fillId="6" borderId="18" xfId="0" applyFont="1" applyFill="1" applyBorder="1" applyAlignment="1" applyProtection="1">
      <alignment horizontal="right"/>
    </xf>
    <xf numFmtId="0" fontId="29" fillId="6" borderId="0" xfId="0" applyFont="1" applyFill="1" applyAlignment="1" applyProtection="1">
      <alignment horizontal="center" vertical="top" wrapText="1"/>
    </xf>
    <xf numFmtId="0" fontId="29" fillId="6" borderId="15" xfId="0" applyFont="1" applyFill="1" applyBorder="1" applyAlignment="1" applyProtection="1">
      <alignment horizontal="center" vertical="top" wrapText="1"/>
    </xf>
    <xf numFmtId="0" fontId="25" fillId="6" borderId="14" xfId="0" applyFont="1" applyFill="1" applyBorder="1" applyAlignment="1" applyProtection="1">
      <alignment horizontal="left" vertical="center" wrapText="1"/>
    </xf>
    <xf numFmtId="0" fontId="29" fillId="6" borderId="15" xfId="0" applyFont="1" applyFill="1" applyBorder="1" applyAlignment="1" applyProtection="1">
      <alignment vertical="center" wrapText="1"/>
    </xf>
    <xf numFmtId="0" fontId="20" fillId="0" borderId="0" xfId="0" applyFont="1" applyAlignment="1" applyProtection="1">
      <alignment vertical="top"/>
    </xf>
    <xf numFmtId="0" fontId="29" fillId="6" borderId="14" xfId="0" applyFont="1" applyFill="1" applyBorder="1" applyAlignment="1" applyProtection="1">
      <alignment horizontal="center" vertical="top" wrapText="1"/>
    </xf>
    <xf numFmtId="0" fontId="29" fillId="6" borderId="12" xfId="0" applyFont="1" applyFill="1" applyBorder="1" applyAlignment="1" applyProtection="1">
      <alignment horizontal="center" vertical="top" wrapText="1"/>
    </xf>
    <xf numFmtId="0" fontId="29" fillId="6" borderId="13" xfId="0" applyFont="1" applyFill="1" applyBorder="1" applyAlignment="1" applyProtection="1">
      <alignment horizontal="center" vertical="top" wrapText="1"/>
    </xf>
    <xf numFmtId="0" fontId="29" fillId="6" borderId="16" xfId="0" applyFont="1" applyFill="1" applyBorder="1" applyAlignment="1" applyProtection="1">
      <alignment horizontal="center" vertical="top" wrapText="1"/>
    </xf>
    <xf numFmtId="0" fontId="29" fillId="6" borderId="17" xfId="0" applyFont="1" applyFill="1" applyBorder="1" applyAlignment="1" applyProtection="1">
      <alignment horizontal="center" vertical="top" wrapText="1"/>
    </xf>
    <xf numFmtId="0" fontId="29" fillId="6" borderId="18" xfId="0" applyFont="1" applyFill="1" applyBorder="1" applyAlignment="1" applyProtection="1">
      <alignment horizontal="center" vertical="top" wrapText="1"/>
    </xf>
    <xf numFmtId="0" fontId="28" fillId="6" borderId="0" xfId="0" applyFont="1" applyFill="1" applyAlignment="1" applyProtection="1">
      <alignment horizontal="right" vertical="center" wrapText="1"/>
    </xf>
    <xf numFmtId="0" fontId="28" fillId="6" borderId="0" xfId="0" applyFont="1" applyFill="1" applyAlignment="1" applyProtection="1">
      <alignment vertical="center" wrapText="1"/>
    </xf>
    <xf numFmtId="0" fontId="28" fillId="6" borderId="15" xfId="0" applyFont="1" applyFill="1" applyBorder="1" applyAlignment="1" applyProtection="1">
      <alignment vertical="center" wrapText="1"/>
    </xf>
    <xf numFmtId="0" fontId="19" fillId="6" borderId="0" xfId="0" applyFont="1" applyFill="1" applyAlignment="1" applyProtection="1">
      <alignment horizontal="right" vertical="center" wrapText="1"/>
    </xf>
    <xf numFmtId="0" fontId="25" fillId="6" borderId="15" xfId="0" applyFont="1" applyFill="1" applyBorder="1" applyAlignment="1" applyProtection="1">
      <alignment horizontal="center" vertical="center" wrapText="1"/>
    </xf>
    <xf numFmtId="0" fontId="19" fillId="6" borderId="0" xfId="0" applyFont="1" applyFill="1" applyBorder="1" applyAlignment="1" applyProtection="1">
      <alignment horizontal="right" vertical="center" wrapText="1"/>
    </xf>
    <xf numFmtId="0" fontId="29" fillId="6" borderId="14" xfId="0" applyFont="1" applyFill="1" applyBorder="1" applyAlignment="1" applyProtection="1">
      <alignment horizontal="center" vertical="center" wrapText="1"/>
    </xf>
    <xf numFmtId="0" fontId="20" fillId="6" borderId="14" xfId="0" applyFont="1" applyFill="1" applyBorder="1" applyAlignment="1" applyProtection="1">
      <alignment horizontal="center" vertical="center" wrapText="1"/>
    </xf>
    <xf numFmtId="0" fontId="29" fillId="6" borderId="0" xfId="0" applyFont="1" applyFill="1" applyBorder="1" applyAlignment="1" applyProtection="1">
      <alignment horizontal="center" vertical="top" wrapText="1"/>
    </xf>
    <xf numFmtId="0" fontId="27" fillId="16" borderId="19" xfId="0" applyFont="1" applyFill="1" applyBorder="1" applyAlignment="1" applyProtection="1">
      <alignment vertical="center" wrapText="1"/>
    </xf>
    <xf numFmtId="0" fontId="27" fillId="6" borderId="19" xfId="0" applyFont="1" applyFill="1" applyBorder="1" applyAlignment="1" applyProtection="1">
      <alignment vertical="center" wrapText="1"/>
    </xf>
    <xf numFmtId="0" fontId="27" fillId="14" borderId="19" xfId="0" applyFont="1" applyFill="1" applyBorder="1" applyAlignment="1" applyProtection="1">
      <alignment vertical="center" wrapText="1"/>
    </xf>
    <xf numFmtId="0" fontId="27" fillId="15" borderId="19" xfId="0" applyFont="1" applyFill="1" applyBorder="1" applyAlignment="1" applyProtection="1">
      <alignment vertical="center" wrapText="1"/>
    </xf>
    <xf numFmtId="0" fontId="46" fillId="0" borderId="0" xfId="0" applyFont="1" applyProtection="1"/>
    <xf numFmtId="0" fontId="19" fillId="6" borderId="16" xfId="0" applyFont="1" applyFill="1" applyBorder="1" applyAlignment="1" applyProtection="1">
      <alignment horizontal="right"/>
    </xf>
    <xf numFmtId="0" fontId="1" fillId="0" borderId="0" xfId="0" applyFont="1" applyAlignment="1" applyProtection="1">
      <alignment wrapText="1"/>
    </xf>
    <xf numFmtId="0" fontId="12" fillId="4" borderId="0" xfId="0" applyFont="1" applyFill="1" applyAlignment="1" applyProtection="1">
      <alignment wrapText="1"/>
    </xf>
    <xf numFmtId="0" fontId="1" fillId="0" borderId="0" xfId="0" applyFont="1" applyAlignment="1" applyProtection="1">
      <alignment horizontal="center" vertical="center" wrapText="1"/>
    </xf>
    <xf numFmtId="0" fontId="12" fillId="4" borderId="10" xfId="0" applyFont="1" applyFill="1" applyBorder="1" applyAlignment="1" applyProtection="1">
      <alignment wrapText="1"/>
    </xf>
    <xf numFmtId="0" fontId="14" fillId="0" borderId="4" xfId="0" applyFont="1" applyBorder="1" applyAlignment="1" applyProtection="1">
      <alignment wrapText="1"/>
    </xf>
    <xf numFmtId="0" fontId="12" fillId="0" borderId="0" xfId="0" applyFont="1" applyAlignment="1" applyProtection="1">
      <alignment wrapText="1"/>
    </xf>
    <xf numFmtId="0" fontId="14" fillId="0" borderId="0" xfId="0" applyFont="1" applyAlignment="1" applyProtection="1">
      <alignment wrapText="1"/>
    </xf>
    <xf numFmtId="0" fontId="12" fillId="0" borderId="2" xfId="0" applyFont="1" applyBorder="1" applyAlignment="1" applyProtection="1">
      <alignment wrapText="1"/>
    </xf>
    <xf numFmtId="0" fontId="12" fillId="4" borderId="49" xfId="0" applyFont="1" applyFill="1" applyBorder="1" applyAlignment="1" applyProtection="1">
      <alignment wrapText="1"/>
    </xf>
    <xf numFmtId="0" fontId="1" fillId="3" borderId="9" xfId="0" applyFont="1" applyFill="1" applyBorder="1" applyProtection="1"/>
    <xf numFmtId="0" fontId="8" fillId="0" borderId="8" xfId="0" applyFont="1" applyBorder="1" applyProtection="1"/>
    <xf numFmtId="9" fontId="1" fillId="0" borderId="0" xfId="5" applyFont="1" applyBorder="1" applyProtection="1"/>
    <xf numFmtId="0" fontId="1" fillId="0" borderId="9" xfId="0" applyFont="1" applyBorder="1" applyProtection="1"/>
    <xf numFmtId="0" fontId="1" fillId="0" borderId="0" xfId="0" applyFont="1" applyProtection="1"/>
    <xf numFmtId="0" fontId="1" fillId="3" borderId="5" xfId="0" applyFont="1" applyFill="1" applyBorder="1" applyProtection="1"/>
    <xf numFmtId="0" fontId="5" fillId="0" borderId="6" xfId="0" applyFont="1" applyBorder="1" applyProtection="1"/>
    <xf numFmtId="0" fontId="8" fillId="0" borderId="6" xfId="0" applyFont="1" applyBorder="1" applyProtection="1"/>
    <xf numFmtId="0" fontId="14" fillId="0" borderId="0" xfId="0" applyFont="1" applyProtection="1"/>
    <xf numFmtId="0" fontId="8" fillId="0" borderId="0" xfId="0" applyFont="1" applyProtection="1"/>
    <xf numFmtId="49" fontId="3" fillId="0" borderId="0" xfId="0" applyNumberFormat="1" applyFont="1" applyAlignment="1" applyProtection="1">
      <alignment horizontal="left"/>
    </xf>
    <xf numFmtId="49" fontId="4" fillId="0" borderId="0" xfId="0" applyNumberFormat="1" applyFont="1" applyAlignment="1" applyProtection="1">
      <alignment horizontal="left"/>
    </xf>
    <xf numFmtId="9" fontId="1" fillId="0" borderId="0" xfId="0" applyNumberFormat="1" applyFont="1" applyProtection="1"/>
    <xf numFmtId="0" fontId="1" fillId="0" borderId="27" xfId="0" applyFont="1" applyBorder="1" applyAlignment="1" applyProtection="1">
      <alignment wrapText="1"/>
    </xf>
    <xf numFmtId="0" fontId="12" fillId="0" borderId="53" xfId="0" applyFont="1" applyBorder="1" applyAlignment="1" applyProtection="1">
      <alignment wrapText="1"/>
    </xf>
    <xf numFmtId="0" fontId="0" fillId="0" borderId="27" xfId="0" applyBorder="1" applyProtection="1"/>
    <xf numFmtId="0" fontId="0" fillId="3" borderId="22" xfId="0" applyFill="1" applyBorder="1" applyProtection="1"/>
    <xf numFmtId="0" fontId="1" fillId="0" borderId="7" xfId="0" applyFont="1" applyBorder="1" applyProtection="1"/>
    <xf numFmtId="0" fontId="5" fillId="0" borderId="8" xfId="0" applyFont="1" applyBorder="1" applyProtection="1"/>
    <xf numFmtId="0" fontId="0" fillId="0" borderId="10" xfId="0" applyBorder="1" applyProtection="1"/>
    <xf numFmtId="0" fontId="0" fillId="0" borderId="0" xfId="0" applyBorder="1" applyProtection="1"/>
    <xf numFmtId="9" fontId="0" fillId="0" borderId="0" xfId="5" applyFont="1" applyBorder="1" applyProtection="1"/>
    <xf numFmtId="0" fontId="0" fillId="0" borderId="28" xfId="0" applyBorder="1" applyProtection="1"/>
    <xf numFmtId="0" fontId="10" fillId="0" borderId="0" xfId="0" applyFont="1" applyProtection="1"/>
    <xf numFmtId="0" fontId="1" fillId="3" borderId="7" xfId="0" applyFont="1" applyFill="1" applyBorder="1" applyProtection="1"/>
    <xf numFmtId="0" fontId="33" fillId="0" borderId="0" xfId="0" applyFont="1" applyProtection="1"/>
    <xf numFmtId="0" fontId="7" fillId="0" borderId="0" xfId="0" applyFont="1" applyProtection="1"/>
    <xf numFmtId="0" fontId="8" fillId="0" borderId="3" xfId="0" applyFont="1" applyBorder="1" applyProtection="1"/>
    <xf numFmtId="0" fontId="10" fillId="0" borderId="8" xfId="0" applyFont="1" applyBorder="1" applyProtection="1"/>
    <xf numFmtId="0" fontId="0" fillId="0" borderId="0" xfId="0" applyAlignment="1" applyProtection="1"/>
    <xf numFmtId="0" fontId="7" fillId="0" borderId="0" xfId="0" applyFont="1" applyAlignment="1" applyProtection="1"/>
    <xf numFmtId="9" fontId="1" fillId="0" borderId="0" xfId="5" applyFont="1" applyBorder="1" applyAlignment="1" applyProtection="1"/>
    <xf numFmtId="0" fontId="1" fillId="0" borderId="9" xfId="0" applyFont="1" applyBorder="1" applyAlignment="1" applyProtection="1"/>
    <xf numFmtId="0" fontId="1" fillId="0" borderId="0" xfId="0" applyFont="1" applyAlignment="1" applyProtection="1"/>
    <xf numFmtId="0" fontId="1" fillId="3" borderId="7" xfId="0" applyFont="1" applyFill="1" applyBorder="1" applyAlignment="1" applyProtection="1"/>
    <xf numFmtId="0" fontId="5" fillId="0" borderId="3" xfId="0" applyFont="1" applyBorder="1" applyAlignment="1" applyProtection="1"/>
    <xf numFmtId="0" fontId="8" fillId="0" borderId="3" xfId="0" applyFont="1" applyBorder="1" applyAlignment="1" applyProtection="1"/>
    <xf numFmtId="0" fontId="14" fillId="0" borderId="0" xfId="0" applyFont="1" applyAlignment="1" applyProtection="1"/>
    <xf numFmtId="0" fontId="8" fillId="0" borderId="0" xfId="0" applyFont="1" applyAlignment="1" applyProtection="1"/>
    <xf numFmtId="0" fontId="52" fillId="0" borderId="0" xfId="0" applyFont="1" applyAlignment="1" applyProtection="1">
      <alignment vertical="top" wrapText="1"/>
    </xf>
    <xf numFmtId="0" fontId="0" fillId="0" borderId="0" xfId="0" applyBorder="1" applyAlignment="1" applyProtection="1"/>
    <xf numFmtId="0" fontId="11" fillId="0" borderId="0" xfId="0" applyFont="1" applyProtection="1"/>
    <xf numFmtId="9" fontId="1" fillId="0" borderId="0" xfId="5" applyFont="1" applyProtection="1"/>
    <xf numFmtId="0" fontId="5" fillId="0" borderId="0" xfId="0" applyFont="1" applyProtection="1"/>
    <xf numFmtId="0" fontId="15" fillId="2" borderId="0" xfId="0" applyFont="1" applyFill="1" applyProtection="1"/>
    <xf numFmtId="0" fontId="13" fillId="2" borderId="0" xfId="0" applyFont="1" applyFill="1" applyProtection="1"/>
    <xf numFmtId="0" fontId="42" fillId="6" borderId="0" xfId="0" applyFont="1" applyFill="1" applyAlignment="1" applyProtection="1">
      <alignment horizontal="right" wrapText="1"/>
    </xf>
    <xf numFmtId="0" fontId="36" fillId="12" borderId="54" xfId="0" applyFont="1" applyFill="1" applyBorder="1" applyAlignment="1" applyProtection="1">
      <alignment vertical="center" wrapText="1"/>
    </xf>
    <xf numFmtId="0" fontId="36" fillId="12" borderId="55" xfId="0" applyFont="1" applyFill="1" applyBorder="1" applyAlignment="1" applyProtection="1">
      <alignment vertical="center" wrapText="1"/>
    </xf>
    <xf numFmtId="0" fontId="41" fillId="6" borderId="43" xfId="0" applyFont="1" applyFill="1" applyBorder="1" applyAlignment="1" applyProtection="1">
      <alignment vertical="center" wrapText="1"/>
    </xf>
    <xf numFmtId="0" fontId="41" fillId="6" borderId="45" xfId="0" applyFont="1" applyFill="1" applyBorder="1" applyAlignment="1" applyProtection="1">
      <alignment vertical="center" wrapText="1"/>
    </xf>
    <xf numFmtId="0" fontId="20" fillId="6" borderId="0" xfId="0" applyFont="1" applyFill="1" applyAlignment="1" applyProtection="1">
      <alignment vertical="center"/>
    </xf>
    <xf numFmtId="0" fontId="20" fillId="6" borderId="15" xfId="0" applyFont="1" applyFill="1" applyBorder="1" applyAlignment="1" applyProtection="1">
      <alignment vertical="center"/>
    </xf>
    <xf numFmtId="0" fontId="19" fillId="6" borderId="17" xfId="0" applyFont="1" applyFill="1" applyBorder="1" applyAlignment="1" applyProtection="1">
      <alignment horizontal="right" wrapText="1"/>
    </xf>
    <xf numFmtId="0" fontId="29" fillId="6" borderId="11" xfId="0" applyFont="1" applyFill="1" applyBorder="1" applyAlignment="1" applyProtection="1">
      <alignment horizontal="center" vertical="center" wrapText="1"/>
    </xf>
    <xf numFmtId="0" fontId="27" fillId="6" borderId="15" xfId="0" applyFont="1" applyFill="1" applyBorder="1" applyAlignment="1" applyProtection="1">
      <alignment vertical="center" wrapText="1"/>
    </xf>
    <xf numFmtId="0" fontId="19" fillId="6" borderId="0" xfId="0" applyFont="1" applyFill="1" applyAlignment="1" applyProtection="1">
      <alignment horizontal="right"/>
    </xf>
    <xf numFmtId="0" fontId="19" fillId="6" borderId="0" xfId="0" applyFont="1" applyFill="1" applyAlignment="1" applyProtection="1">
      <alignment horizontal="left"/>
    </xf>
    <xf numFmtId="0" fontId="19" fillId="6" borderId="15" xfId="0" applyFont="1" applyFill="1" applyBorder="1" applyAlignment="1" applyProtection="1">
      <alignment horizontal="right"/>
    </xf>
    <xf numFmtId="0" fontId="19" fillId="6" borderId="14" xfId="0" applyFont="1" applyFill="1" applyBorder="1" applyAlignment="1" applyProtection="1">
      <alignment horizontal="right" vertical="center"/>
    </xf>
    <xf numFmtId="0" fontId="27" fillId="6" borderId="0" xfId="0" applyFont="1" applyFill="1" applyAlignment="1" applyProtection="1">
      <alignment horizontal="right" vertical="center"/>
    </xf>
    <xf numFmtId="0" fontId="27" fillId="6" borderId="0" xfId="0" applyFont="1" applyFill="1" applyAlignment="1" applyProtection="1">
      <alignment horizontal="left"/>
    </xf>
    <xf numFmtId="0" fontId="19" fillId="6" borderId="0" xfId="0" applyFont="1" applyFill="1" applyAlignment="1" applyProtection="1">
      <alignment horizontal="right" vertical="center"/>
    </xf>
    <xf numFmtId="0" fontId="20" fillId="6" borderId="16" xfId="0" applyFont="1" applyFill="1" applyBorder="1" applyAlignment="1" applyProtection="1">
      <alignment horizontal="center" vertical="center"/>
    </xf>
    <xf numFmtId="0" fontId="19" fillId="6" borderId="17" xfId="0" applyFont="1" applyFill="1" applyBorder="1" applyAlignment="1" applyProtection="1">
      <alignment horizontal="right" vertical="center" wrapText="1"/>
    </xf>
    <xf numFmtId="0" fontId="38" fillId="6" borderId="15" xfId="0" applyFont="1" applyFill="1" applyBorder="1" applyAlignment="1" applyProtection="1">
      <alignment vertical="top" wrapText="1"/>
    </xf>
    <xf numFmtId="0" fontId="20" fillId="6" borderId="14" xfId="0" applyFont="1" applyFill="1" applyBorder="1" applyAlignment="1" applyProtection="1">
      <alignment horizontal="center" vertical="top" wrapText="1"/>
    </xf>
    <xf numFmtId="0" fontId="27" fillId="6" borderId="30" xfId="0" applyFont="1" applyFill="1" applyBorder="1" applyAlignment="1" applyProtection="1">
      <alignment vertical="center" wrapText="1"/>
    </xf>
    <xf numFmtId="0" fontId="20" fillId="6" borderId="15" xfId="0" applyFont="1" applyFill="1" applyBorder="1" applyAlignment="1" applyProtection="1">
      <alignment horizontal="center" vertical="top" wrapText="1"/>
    </xf>
    <xf numFmtId="0" fontId="36" fillId="6" borderId="14" xfId="0" applyFont="1" applyFill="1" applyBorder="1" applyAlignment="1" applyProtection="1">
      <alignment vertical="top" wrapText="1"/>
    </xf>
    <xf numFmtId="0" fontId="36" fillId="6" borderId="15" xfId="0" applyFont="1" applyFill="1" applyBorder="1" applyAlignment="1" applyProtection="1">
      <alignment vertical="top" wrapText="1"/>
    </xf>
    <xf numFmtId="165" fontId="29" fillId="6" borderId="0" xfId="4" applyNumberFormat="1" applyFont="1" applyFill="1" applyBorder="1" applyAlignment="1" applyProtection="1">
      <alignment horizontal="center" vertical="top" wrapText="1"/>
    </xf>
    <xf numFmtId="165" fontId="10" fillId="6" borderId="30" xfId="4" applyNumberFormat="1" applyFont="1" applyFill="1" applyBorder="1" applyAlignment="1" applyProtection="1">
      <alignment horizontal="left" vertical="top" wrapText="1"/>
    </xf>
    <xf numFmtId="0" fontId="10" fillId="6" borderId="15" xfId="0" applyFont="1" applyFill="1" applyBorder="1" applyAlignment="1" applyProtection="1">
      <alignment horizontal="left" vertical="top" wrapText="1"/>
    </xf>
    <xf numFmtId="166" fontId="10" fillId="6" borderId="19" xfId="4" applyNumberFormat="1" applyFont="1" applyFill="1" applyBorder="1" applyAlignment="1" applyProtection="1">
      <alignment horizontal="left" vertical="top" wrapText="1"/>
    </xf>
    <xf numFmtId="166" fontId="10" fillId="6" borderId="30" xfId="4" applyNumberFormat="1" applyFont="1" applyFill="1" applyBorder="1" applyAlignment="1" applyProtection="1">
      <alignment horizontal="left" vertical="top" wrapText="1"/>
    </xf>
    <xf numFmtId="0" fontId="36" fillId="6" borderId="14" xfId="0" applyFont="1" applyFill="1" applyBorder="1" applyAlignment="1" applyProtection="1">
      <alignment horizontal="center" vertical="center" wrapText="1"/>
    </xf>
    <xf numFmtId="0" fontId="20" fillId="6" borderId="0" xfId="0" applyFont="1" applyFill="1" applyAlignment="1" applyProtection="1">
      <alignment horizontal="center" vertical="top" wrapText="1"/>
    </xf>
    <xf numFmtId="0" fontId="27" fillId="6" borderId="29" xfId="0" applyFont="1" applyFill="1" applyBorder="1" applyAlignment="1" applyProtection="1">
      <alignment vertical="center" wrapText="1"/>
    </xf>
    <xf numFmtId="0" fontId="10" fillId="6" borderId="18" xfId="0" applyFont="1" applyFill="1" applyBorder="1" applyAlignment="1" applyProtection="1">
      <alignment horizontal="left" vertical="top" wrapText="1"/>
    </xf>
    <xf numFmtId="0" fontId="13" fillId="0" borderId="0" xfId="0" applyFont="1" applyProtection="1"/>
    <xf numFmtId="0" fontId="0" fillId="7" borderId="0" xfId="0" applyFill="1" applyAlignment="1" applyProtection="1">
      <alignment wrapText="1"/>
    </xf>
    <xf numFmtId="0" fontId="19" fillId="6" borderId="0" xfId="0" applyFont="1" applyFill="1" applyAlignment="1" applyProtection="1">
      <alignment horizontal="right" wrapText="1"/>
    </xf>
    <xf numFmtId="0" fontId="19" fillId="6" borderId="14" xfId="0" applyFont="1" applyFill="1" applyBorder="1" applyAlignment="1" applyProtection="1">
      <alignment horizontal="right" vertical="center" wrapText="1"/>
    </xf>
    <xf numFmtId="165" fontId="10" fillId="6" borderId="19" xfId="4" applyNumberFormat="1" applyFont="1" applyFill="1" applyBorder="1" applyAlignment="1" applyProtection="1">
      <alignment vertical="top" wrapText="1"/>
    </xf>
    <xf numFmtId="0" fontId="27" fillId="6" borderId="14" xfId="0" applyFont="1" applyFill="1" applyBorder="1" applyAlignment="1" applyProtection="1">
      <alignment horizontal="right" vertical="center"/>
    </xf>
    <xf numFmtId="0" fontId="26" fillId="6" borderId="14" xfId="0" applyFont="1" applyFill="1" applyBorder="1" applyAlignment="1" applyProtection="1">
      <alignment horizontal="right" vertical="center"/>
    </xf>
    <xf numFmtId="0" fontId="29" fillId="6" borderId="13" xfId="0" applyFont="1" applyFill="1" applyBorder="1" applyAlignment="1" applyProtection="1">
      <alignment vertical="top" wrapText="1"/>
    </xf>
    <xf numFmtId="0" fontId="43" fillId="6" borderId="0" xfId="0" applyFont="1" applyFill="1" applyAlignment="1" applyProtection="1">
      <alignment vertical="center" wrapText="1"/>
    </xf>
    <xf numFmtId="165" fontId="14" fillId="6" borderId="19" xfId="4" applyNumberFormat="1" applyFont="1" applyFill="1" applyBorder="1" applyAlignment="1" applyProtection="1">
      <alignment horizontal="left" vertical="top" wrapText="1"/>
    </xf>
    <xf numFmtId="165" fontId="57" fillId="9" borderId="19" xfId="4" applyNumberFormat="1" applyFont="1" applyFill="1" applyBorder="1" applyAlignment="1" applyProtection="1">
      <alignment horizontal="left" vertical="top" wrapText="1"/>
    </xf>
    <xf numFmtId="43" fontId="44" fillId="6" borderId="19" xfId="4" applyNumberFormat="1" applyFont="1" applyFill="1" applyBorder="1" applyAlignment="1" applyProtection="1">
      <alignment horizontal="left" vertical="top" wrapText="1"/>
    </xf>
    <xf numFmtId="43" fontId="44" fillId="9" borderId="19" xfId="4" applyNumberFormat="1" applyFont="1" applyFill="1" applyBorder="1" applyAlignment="1" applyProtection="1">
      <alignment horizontal="left" vertical="top" wrapText="1"/>
    </xf>
    <xf numFmtId="0" fontId="36" fillId="6" borderId="0" xfId="0" applyFont="1" applyFill="1" applyAlignment="1" applyProtection="1">
      <alignment horizontal="center" vertical="top" wrapText="1"/>
    </xf>
    <xf numFmtId="0" fontId="20" fillId="6" borderId="0" xfId="0" applyFont="1" applyFill="1" applyAlignment="1" applyProtection="1">
      <alignment horizontal="right" vertical="center" wrapText="1"/>
    </xf>
    <xf numFmtId="0" fontId="18" fillId="0" borderId="0" xfId="0" applyFont="1" applyProtection="1"/>
    <xf numFmtId="0" fontId="28" fillId="13" borderId="30" xfId="0" applyFont="1" applyFill="1" applyBorder="1" applyAlignment="1" applyProtection="1">
      <alignment horizontal="center" vertical="center" wrapText="1"/>
    </xf>
    <xf numFmtId="0" fontId="27" fillId="9" borderId="0" xfId="0" applyFont="1" applyFill="1" applyAlignment="1" applyProtection="1">
      <alignment horizontal="center" vertical="center" wrapText="1"/>
    </xf>
    <xf numFmtId="0" fontId="27" fillId="6" borderId="0" xfId="0" applyFont="1" applyFill="1" applyAlignment="1" applyProtection="1">
      <alignment vertical="center" wrapText="1"/>
    </xf>
    <xf numFmtId="0" fontId="29" fillId="6" borderId="31" xfId="0" applyFont="1" applyFill="1" applyBorder="1" applyAlignment="1" applyProtection="1">
      <alignment horizontal="center" vertical="top" wrapText="1"/>
    </xf>
    <xf numFmtId="0" fontId="29" fillId="6" borderId="21" xfId="0" applyFont="1" applyFill="1" applyBorder="1" applyAlignment="1" applyProtection="1">
      <alignment horizontal="center" vertical="top" wrapText="1"/>
    </xf>
    <xf numFmtId="0" fontId="28" fillId="9" borderId="29" xfId="0" applyFont="1" applyFill="1" applyBorder="1" applyAlignment="1" applyProtection="1">
      <alignment horizontal="center" vertical="center" wrapText="1"/>
    </xf>
    <xf numFmtId="0" fontId="0" fillId="0" borderId="0" xfId="0" applyAlignment="1" applyProtection="1">
      <alignment wrapText="1"/>
    </xf>
    <xf numFmtId="0" fontId="29" fillId="6" borderId="11" xfId="0" applyFont="1" applyFill="1" applyBorder="1" applyAlignment="1" applyProtection="1">
      <alignment horizontal="center" vertical="top" wrapText="1"/>
    </xf>
    <xf numFmtId="0" fontId="26" fillId="6" borderId="0" xfId="0" applyFont="1" applyFill="1" applyAlignment="1" applyProtection="1">
      <alignment horizontal="right" vertical="center"/>
    </xf>
    <xf numFmtId="0" fontId="28" fillId="13" borderId="19" xfId="0" applyFont="1" applyFill="1" applyBorder="1" applyAlignment="1" applyProtection="1">
      <alignment vertical="center" wrapText="1"/>
    </xf>
    <xf numFmtId="0" fontId="10" fillId="6" borderId="19" xfId="0" applyFont="1" applyFill="1" applyBorder="1" applyAlignment="1" applyProtection="1">
      <alignment horizontal="left" vertical="top" wrapText="1"/>
    </xf>
    <xf numFmtId="0" fontId="29" fillId="6" borderId="0" xfId="0" applyFont="1" applyFill="1" applyBorder="1" applyAlignment="1" applyProtection="1">
      <alignment horizontal="right" vertical="top" wrapText="1"/>
    </xf>
    <xf numFmtId="0" fontId="28" fillId="13" borderId="51" xfId="0" applyFont="1" applyFill="1" applyBorder="1" applyAlignment="1" applyProtection="1">
      <alignment vertical="center" wrapText="1"/>
    </xf>
    <xf numFmtId="0" fontId="28" fillId="13" borderId="20" xfId="0" applyFont="1" applyFill="1" applyBorder="1" applyAlignment="1" applyProtection="1">
      <alignment vertical="center" wrapText="1"/>
    </xf>
    <xf numFmtId="0" fontId="54" fillId="6" borderId="0" xfId="0" applyFont="1" applyFill="1" applyAlignment="1" applyProtection="1">
      <alignment horizontal="right" vertical="center"/>
    </xf>
    <xf numFmtId="0" fontId="19" fillId="6" borderId="0" xfId="0" applyFont="1" applyFill="1" applyAlignment="1" applyProtection="1">
      <alignment horizontal="right" vertical="center" wrapText="1" indent="1"/>
    </xf>
    <xf numFmtId="0" fontId="26" fillId="6" borderId="0" xfId="0" applyFont="1" applyFill="1" applyAlignment="1" applyProtection="1">
      <alignment horizontal="left" vertical="center" wrapText="1"/>
    </xf>
    <xf numFmtId="0" fontId="28" fillId="13" borderId="25" xfId="0" applyFont="1" applyFill="1" applyBorder="1" applyAlignment="1" applyProtection="1">
      <alignment vertical="center" wrapText="1"/>
    </xf>
    <xf numFmtId="0" fontId="28" fillId="6" borderId="30" xfId="0" applyFont="1" applyFill="1" applyBorder="1" applyAlignment="1" applyProtection="1">
      <alignment vertical="center" wrapText="1"/>
    </xf>
    <xf numFmtId="0" fontId="0" fillId="0" borderId="0" xfId="0" applyAlignment="1" applyProtection="1">
      <alignment horizontal="left"/>
    </xf>
    <xf numFmtId="0" fontId="53" fillId="0" borderId="0" xfId="0" applyFont="1" applyAlignment="1" applyProtection="1">
      <alignment horizontal="left" vertical="top"/>
      <protection locked="0"/>
    </xf>
    <xf numFmtId="0" fontId="29" fillId="6" borderId="13" xfId="0" applyFont="1" applyFill="1" applyBorder="1" applyAlignment="1" applyProtection="1">
      <alignment vertical="center" wrapText="1"/>
    </xf>
    <xf numFmtId="0" fontId="10" fillId="6" borderId="15" xfId="0" applyFont="1" applyFill="1" applyBorder="1" applyAlignment="1" applyProtection="1">
      <alignment vertical="top" wrapText="1"/>
    </xf>
    <xf numFmtId="49" fontId="10" fillId="6" borderId="15" xfId="0" applyNumberFormat="1" applyFont="1" applyFill="1" applyBorder="1" applyAlignment="1" applyProtection="1">
      <alignment horizontal="left" vertical="top" wrapText="1"/>
    </xf>
    <xf numFmtId="0" fontId="27" fillId="6" borderId="0" xfId="0" applyFont="1" applyFill="1" applyAlignment="1" applyProtection="1">
      <alignment horizontal="right" vertical="center" wrapText="1"/>
    </xf>
    <xf numFmtId="0" fontId="0" fillId="6" borderId="15" xfId="0" applyFill="1" applyBorder="1" applyAlignment="1" applyProtection="1">
      <alignment horizontal="left" vertical="top" wrapText="1"/>
    </xf>
    <xf numFmtId="0" fontId="25" fillId="6" borderId="14" xfId="0" applyFont="1" applyFill="1" applyBorder="1" applyAlignment="1" applyProtection="1">
      <alignment horizontal="right" vertical="center"/>
    </xf>
    <xf numFmtId="0" fontId="29" fillId="6" borderId="0" xfId="0" applyFont="1" applyFill="1" applyAlignment="1" applyProtection="1">
      <alignment horizontal="right" vertical="top"/>
    </xf>
    <xf numFmtId="0" fontId="42" fillId="6" borderId="0" xfId="0" applyFont="1" applyFill="1" applyAlignment="1" applyProtection="1">
      <alignment horizontal="right" vertical="top"/>
    </xf>
    <xf numFmtId="0" fontId="19" fillId="6" borderId="14" xfId="0" applyFont="1" applyFill="1" applyBorder="1" applyAlignment="1" applyProtection="1">
      <alignment horizontal="right" vertical="center" wrapText="1"/>
    </xf>
    <xf numFmtId="0" fontId="19" fillId="6" borderId="0" xfId="0" applyFont="1" applyFill="1" applyAlignment="1" applyProtection="1">
      <alignment horizontal="right" vertical="center" wrapText="1"/>
    </xf>
    <xf numFmtId="0" fontId="64" fillId="0" borderId="0" xfId="0" applyFont="1" applyAlignment="1" applyProtection="1">
      <alignment horizontal="left" vertical="top"/>
      <protection locked="0"/>
    </xf>
    <xf numFmtId="0" fontId="29" fillId="6" borderId="0" xfId="0" applyFont="1" applyFill="1" applyAlignment="1" applyProtection="1">
      <alignment horizontal="center" vertical="top" wrapText="1"/>
    </xf>
    <xf numFmtId="0" fontId="65" fillId="0" borderId="9" xfId="0" applyFont="1" applyBorder="1" applyProtection="1"/>
    <xf numFmtId="0" fontId="65" fillId="3" borderId="0" xfId="0" applyFont="1" applyFill="1" applyBorder="1" applyProtection="1"/>
    <xf numFmtId="0" fontId="1" fillId="0" borderId="0" xfId="0" applyFont="1" applyBorder="1" applyProtection="1"/>
    <xf numFmtId="0" fontId="1" fillId="0" borderId="28" xfId="0" applyFont="1" applyBorder="1" applyAlignment="1" applyProtection="1">
      <alignment wrapText="1"/>
    </xf>
    <xf numFmtId="164" fontId="0" fillId="0" borderId="0" xfId="0" applyNumberFormat="1" applyBorder="1" applyProtection="1"/>
    <xf numFmtId="164" fontId="0" fillId="0" borderId="61" xfId="0" applyNumberFormat="1" applyBorder="1" applyAlignment="1" applyProtection="1">
      <alignment horizontal="right"/>
    </xf>
    <xf numFmtId="0" fontId="0" fillId="0" borderId="61" xfId="0" applyBorder="1" applyAlignment="1" applyProtection="1">
      <alignment horizontal="right"/>
    </xf>
    <xf numFmtId="0" fontId="0" fillId="0" borderId="61" xfId="0" applyBorder="1" applyProtection="1"/>
    <xf numFmtId="0" fontId="42" fillId="6" borderId="0" xfId="0" applyFont="1" applyFill="1" applyAlignment="1" applyProtection="1">
      <alignment horizontal="right" vertical="top"/>
    </xf>
    <xf numFmtId="0" fontId="10" fillId="0" borderId="62" xfId="0" applyFont="1" applyBorder="1" applyProtection="1"/>
    <xf numFmtId="0" fontId="10" fillId="0" borderId="62" xfId="0" applyFont="1" applyBorder="1" applyAlignment="1" applyProtection="1"/>
    <xf numFmtId="0" fontId="10" fillId="0" borderId="62" xfId="0" applyFont="1" applyFill="1" applyBorder="1" applyAlignment="1" applyProtection="1"/>
    <xf numFmtId="165" fontId="0" fillId="0" borderId="61" xfId="4" applyNumberFormat="1" applyFont="1" applyBorder="1" applyProtection="1"/>
    <xf numFmtId="9" fontId="0" fillId="0" borderId="65" xfId="5" applyFont="1" applyBorder="1" applyProtection="1"/>
    <xf numFmtId="0" fontId="0" fillId="0" borderId="65" xfId="0" applyBorder="1" applyProtection="1"/>
    <xf numFmtId="0" fontId="1" fillId="19" borderId="61" xfId="0" applyFont="1" applyFill="1" applyBorder="1" applyProtection="1"/>
    <xf numFmtId="0" fontId="1" fillId="19" borderId="65" xfId="0" applyFont="1" applyFill="1" applyBorder="1" applyProtection="1"/>
    <xf numFmtId="0" fontId="12" fillId="4" borderId="0" xfId="0" applyFont="1" applyFill="1" applyBorder="1" applyAlignment="1" applyProtection="1">
      <alignment horizontal="center" wrapText="1"/>
    </xf>
    <xf numFmtId="0" fontId="1" fillId="9" borderId="67" xfId="0" applyFont="1" applyFill="1" applyBorder="1" applyProtection="1"/>
    <xf numFmtId="0" fontId="0" fillId="6" borderId="67" xfId="0" applyFill="1" applyBorder="1" applyProtection="1"/>
    <xf numFmtId="0" fontId="1" fillId="0" borderId="52" xfId="0" applyFont="1" applyBorder="1" applyAlignment="1" applyProtection="1">
      <alignment wrapText="1"/>
    </xf>
    <xf numFmtId="0" fontId="12" fillId="4" borderId="10" xfId="0" applyFont="1" applyFill="1" applyBorder="1" applyAlignment="1" applyProtection="1">
      <alignment horizontal="center" wrapText="1"/>
    </xf>
    <xf numFmtId="0" fontId="0" fillId="0" borderId="69" xfId="0" applyBorder="1" applyProtection="1"/>
    <xf numFmtId="0" fontId="0" fillId="0" borderId="70" xfId="0" applyBorder="1" applyProtection="1"/>
    <xf numFmtId="0" fontId="1" fillId="0" borderId="0" xfId="0" applyFont="1" applyBorder="1" applyAlignment="1" applyProtection="1">
      <alignment wrapText="1"/>
    </xf>
    <xf numFmtId="0" fontId="1" fillId="9" borderId="67" xfId="0" applyFont="1" applyFill="1" applyBorder="1" applyAlignment="1" applyProtection="1">
      <alignment wrapText="1"/>
    </xf>
    <xf numFmtId="165" fontId="0" fillId="0" borderId="61" xfId="4" applyNumberFormat="1" applyFont="1" applyBorder="1" applyAlignment="1" applyProtection="1">
      <alignment horizontal="right"/>
    </xf>
    <xf numFmtId="0" fontId="1" fillId="9" borderId="71" xfId="0" applyFont="1" applyFill="1" applyBorder="1" applyProtection="1"/>
    <xf numFmtId="0" fontId="1" fillId="9" borderId="72" xfId="0" applyFont="1" applyFill="1" applyBorder="1" applyProtection="1"/>
    <xf numFmtId="0" fontId="12" fillId="4" borderId="64" xfId="0" applyFont="1" applyFill="1" applyBorder="1" applyAlignment="1">
      <alignment wrapText="1"/>
    </xf>
    <xf numFmtId="0" fontId="0" fillId="0" borderId="66" xfId="0" applyBorder="1" applyProtection="1"/>
    <xf numFmtId="0" fontId="0" fillId="0" borderId="28" xfId="0" applyBorder="1" applyAlignment="1" applyProtection="1"/>
    <xf numFmtId="0" fontId="0" fillId="0" borderId="68" xfId="0" applyBorder="1" applyProtection="1"/>
    <xf numFmtId="164" fontId="41" fillId="6" borderId="46" xfId="0" applyNumberFormat="1" applyFont="1" applyFill="1" applyBorder="1" applyAlignment="1" applyProtection="1">
      <alignment horizontal="center" vertical="center" wrapText="1"/>
    </xf>
    <xf numFmtId="0" fontId="28" fillId="9" borderId="46" xfId="0" applyFont="1" applyFill="1" applyBorder="1" applyAlignment="1" applyProtection="1">
      <alignment vertical="center" wrapText="1"/>
    </xf>
    <xf numFmtId="0" fontId="28" fillId="9" borderId="39" xfId="0" applyFont="1" applyFill="1" applyBorder="1" applyAlignment="1" applyProtection="1">
      <alignment vertical="center" wrapText="1"/>
    </xf>
    <xf numFmtId="167" fontId="28" fillId="9" borderId="46" xfId="0" applyNumberFormat="1" applyFont="1" applyFill="1" applyBorder="1" applyAlignment="1" applyProtection="1">
      <alignment horizontal="center" vertical="center" wrapText="1"/>
    </xf>
    <xf numFmtId="0" fontId="64" fillId="0" borderId="0" xfId="0" applyFont="1" applyAlignment="1" applyProtection="1">
      <alignment horizontal="left" vertical="top" wrapText="1"/>
      <protection locked="0"/>
    </xf>
    <xf numFmtId="0" fontId="66" fillId="0" borderId="0" xfId="0" applyFont="1" applyProtection="1">
      <protection locked="0"/>
    </xf>
    <xf numFmtId="0" fontId="10" fillId="8" borderId="19" xfId="0" applyFont="1" applyFill="1" applyBorder="1" applyAlignment="1" applyProtection="1">
      <alignment horizontal="left" vertical="top" wrapText="1"/>
      <protection locked="0"/>
    </xf>
    <xf numFmtId="0" fontId="64" fillId="0" borderId="0" xfId="0" applyFont="1" applyProtection="1"/>
    <xf numFmtId="0" fontId="67" fillId="0" borderId="0" xfId="0" applyFont="1" applyProtection="1">
      <protection locked="0"/>
    </xf>
    <xf numFmtId="0" fontId="64" fillId="0" borderId="0" xfId="0" applyFont="1" applyBorder="1" applyProtection="1"/>
    <xf numFmtId="0" fontId="20" fillId="6" borderId="0" xfId="0" applyFont="1" applyFill="1" applyAlignment="1" applyProtection="1">
      <alignment horizontal="right" vertical="center"/>
    </xf>
    <xf numFmtId="0" fontId="10" fillId="8" borderId="19" xfId="0" applyFont="1" applyFill="1" applyBorder="1" applyAlignment="1" applyProtection="1">
      <alignment horizontal="left" vertical="top" wrapText="1"/>
      <protection locked="0"/>
    </xf>
    <xf numFmtId="165" fontId="10" fillId="8" borderId="19" xfId="4" applyNumberFormat="1" applyFont="1" applyFill="1" applyBorder="1" applyAlignment="1" applyProtection="1">
      <alignment horizontal="left" vertical="top" wrapText="1"/>
      <protection locked="0"/>
    </xf>
    <xf numFmtId="166" fontId="10" fillId="6" borderId="0" xfId="4" applyNumberFormat="1" applyFont="1" applyFill="1" applyBorder="1" applyAlignment="1" applyProtection="1">
      <alignment horizontal="left" vertical="top" wrapText="1"/>
    </xf>
    <xf numFmtId="0" fontId="20" fillId="6" borderId="11" xfId="0" applyFont="1" applyFill="1" applyBorder="1" applyAlignment="1" applyProtection="1">
      <alignment horizontal="center" vertical="top" wrapText="1"/>
    </xf>
    <xf numFmtId="0" fontId="20" fillId="6" borderId="13" xfId="0" applyFont="1" applyFill="1" applyBorder="1" applyAlignment="1" applyProtection="1">
      <alignment horizontal="center" vertical="top" wrapText="1"/>
    </xf>
    <xf numFmtId="0" fontId="0" fillId="6" borderId="14" xfId="0" applyFill="1" applyBorder="1" applyProtection="1"/>
    <xf numFmtId="0" fontId="0" fillId="6" borderId="0" xfId="0" applyFill="1" applyBorder="1" applyProtection="1"/>
    <xf numFmtId="0" fontId="19" fillId="6" borderId="0" xfId="0" applyFont="1" applyFill="1" applyBorder="1" applyAlignment="1" applyProtection="1">
      <alignment horizontal="right" vertical="center"/>
    </xf>
    <xf numFmtId="0" fontId="19" fillId="6" borderId="17" xfId="0" applyFont="1" applyFill="1" applyBorder="1" applyAlignment="1" applyProtection="1">
      <alignment horizontal="right" vertical="center"/>
    </xf>
    <xf numFmtId="0" fontId="20" fillId="6" borderId="0" xfId="0" applyFont="1" applyFill="1" applyBorder="1" applyAlignment="1" applyProtection="1">
      <alignment horizontal="right" vertical="center"/>
    </xf>
    <xf numFmtId="0" fontId="19" fillId="6" borderId="16" xfId="0" applyFont="1" applyFill="1" applyBorder="1" applyAlignment="1" applyProtection="1">
      <alignment horizontal="right" vertical="center"/>
    </xf>
    <xf numFmtId="0" fontId="19" fillId="6" borderId="18" xfId="0" applyFont="1" applyFill="1" applyBorder="1" applyAlignment="1" applyProtection="1">
      <alignment horizontal="right" vertical="center"/>
    </xf>
    <xf numFmtId="0" fontId="70" fillId="6" borderId="0" xfId="0" applyFont="1" applyFill="1" applyBorder="1" applyProtection="1"/>
    <xf numFmtId="165" fontId="10" fillId="6" borderId="0" xfId="4" applyNumberFormat="1" applyFont="1" applyFill="1" applyBorder="1" applyAlignment="1" applyProtection="1">
      <alignment horizontal="left" vertical="top" wrapText="1"/>
    </xf>
    <xf numFmtId="0" fontId="71" fillId="6" borderId="0" xfId="0" applyFont="1" applyFill="1" applyAlignment="1" applyProtection="1">
      <alignment vertical="center" wrapText="1"/>
    </xf>
    <xf numFmtId="2" fontId="74" fillId="0" borderId="74" xfId="0" applyNumberFormat="1" applyFont="1" applyBorder="1" applyAlignment="1">
      <alignment horizontal="right" vertical="top" shrinkToFit="1"/>
    </xf>
    <xf numFmtId="0" fontId="60" fillId="6" borderId="0" xfId="0" applyFont="1" applyFill="1" applyAlignment="1" applyProtection="1">
      <alignment vertical="top"/>
    </xf>
    <xf numFmtId="0" fontId="19" fillId="6" borderId="0" xfId="0" applyFont="1" applyFill="1" applyBorder="1" applyAlignment="1" applyProtection="1">
      <alignment vertical="top" wrapText="1"/>
    </xf>
    <xf numFmtId="0" fontId="12" fillId="4" borderId="22" xfId="0" applyFont="1" applyFill="1" applyBorder="1" applyAlignment="1">
      <alignment wrapText="1"/>
    </xf>
    <xf numFmtId="0" fontId="0" fillId="3" borderId="22" xfId="0" applyFont="1" applyFill="1" applyBorder="1"/>
    <xf numFmtId="0" fontId="0" fillId="0" borderId="22" xfId="0" applyFont="1" applyBorder="1"/>
    <xf numFmtId="0" fontId="0" fillId="3" borderId="22" xfId="0" applyFont="1" applyFill="1" applyBorder="1" applyAlignment="1"/>
    <xf numFmtId="0" fontId="1" fillId="3" borderId="22" xfId="0" applyFont="1" applyFill="1" applyBorder="1"/>
    <xf numFmtId="0" fontId="1" fillId="0" borderId="22" xfId="0" applyFont="1" applyBorder="1"/>
    <xf numFmtId="0" fontId="1" fillId="3" borderId="22" xfId="0" applyFont="1" applyFill="1" applyBorder="1" applyAlignment="1"/>
    <xf numFmtId="49" fontId="76" fillId="0" borderId="0" xfId="0" applyNumberFormat="1" applyFont="1" applyAlignment="1">
      <alignment horizontal="center"/>
    </xf>
    <xf numFmtId="167" fontId="0" fillId="0" borderId="0" xfId="0" applyNumberFormat="1" applyProtection="1"/>
    <xf numFmtId="167" fontId="0" fillId="0" borderId="0" xfId="0" applyNumberFormat="1" applyAlignment="1" applyProtection="1"/>
    <xf numFmtId="49" fontId="77" fillId="0" borderId="0" xfId="0" applyNumberFormat="1" applyFont="1" applyAlignment="1">
      <alignment horizontal="center"/>
    </xf>
    <xf numFmtId="0" fontId="78" fillId="0" borderId="0" xfId="0" applyFont="1" applyAlignment="1">
      <alignment wrapText="1"/>
    </xf>
    <xf numFmtId="0" fontId="79" fillId="0" borderId="0" xfId="0" applyFont="1" applyAlignment="1">
      <alignment wrapText="1"/>
    </xf>
    <xf numFmtId="0" fontId="20" fillId="6" borderId="0" xfId="0" applyFont="1" applyFill="1" applyBorder="1" applyAlignment="1" applyProtection="1">
      <alignment horizontal="left" vertical="center"/>
    </xf>
    <xf numFmtId="0" fontId="78" fillId="0" borderId="0" xfId="0" applyFont="1"/>
    <xf numFmtId="0" fontId="79" fillId="0" borderId="0" xfId="0" applyFont="1"/>
    <xf numFmtId="0" fontId="80" fillId="0" borderId="0" xfId="0" applyFont="1"/>
    <xf numFmtId="0" fontId="80" fillId="0" borderId="0" xfId="0" applyFont="1" applyAlignment="1">
      <alignment wrapText="1"/>
    </xf>
    <xf numFmtId="165" fontId="0" fillId="0" borderId="0" xfId="4" applyNumberFormat="1" applyFont="1" applyProtection="1"/>
    <xf numFmtId="0" fontId="0" fillId="0" borderId="0" xfId="0" quotePrefix="1" applyAlignment="1" applyProtection="1">
      <alignment horizontal="right"/>
    </xf>
    <xf numFmtId="167" fontId="0" fillId="0" borderId="0" xfId="0" applyNumberFormat="1" applyFont="1" applyAlignment="1" applyProtection="1">
      <alignment wrapText="1"/>
    </xf>
    <xf numFmtId="0" fontId="0" fillId="0" borderId="0" xfId="0" applyFont="1" applyAlignment="1" applyProtection="1">
      <alignment wrapText="1"/>
    </xf>
    <xf numFmtId="0" fontId="20" fillId="20" borderId="0" xfId="0" applyFont="1" applyFill="1" applyBorder="1" applyAlignment="1" applyProtection="1">
      <alignment horizontal="left" vertical="center"/>
    </xf>
    <xf numFmtId="0" fontId="1" fillId="20" borderId="0" xfId="0" applyFont="1" applyFill="1" applyProtection="1"/>
    <xf numFmtId="165" fontId="0" fillId="21" borderId="0" xfId="4" applyNumberFormat="1" applyFont="1" applyFill="1" applyAlignment="1" applyProtection="1">
      <alignment wrapText="1"/>
    </xf>
    <xf numFmtId="0" fontId="0" fillId="21" borderId="0" xfId="0" applyFill="1" applyProtection="1"/>
    <xf numFmtId="165" fontId="0" fillId="21" borderId="0" xfId="4" applyNumberFormat="1" applyFont="1" applyFill="1" applyProtection="1"/>
    <xf numFmtId="0" fontId="20" fillId="6" borderId="12" xfId="0" applyFont="1" applyFill="1" applyBorder="1" applyAlignment="1" applyProtection="1">
      <alignment vertical="center" wrapText="1"/>
    </xf>
    <xf numFmtId="0" fontId="20" fillId="6" borderId="13" xfId="0" applyFont="1" applyFill="1" applyBorder="1" applyAlignment="1" applyProtection="1">
      <alignment vertical="center" wrapText="1"/>
    </xf>
    <xf numFmtId="0" fontId="73" fillId="6" borderId="0" xfId="0" applyFont="1" applyFill="1" applyBorder="1" applyAlignment="1" applyProtection="1">
      <alignment horizontal="left" vertical="center"/>
    </xf>
    <xf numFmtId="165" fontId="19" fillId="6" borderId="0" xfId="0" applyNumberFormat="1" applyFont="1" applyFill="1" applyBorder="1" applyAlignment="1" applyProtection="1">
      <alignment horizontal="right" vertical="center"/>
    </xf>
    <xf numFmtId="0" fontId="77" fillId="0" borderId="75" xfId="0" applyFont="1" applyBorder="1" applyAlignment="1">
      <alignment horizontal="center" wrapText="1"/>
    </xf>
    <xf numFmtId="0" fontId="80" fillId="0" borderId="75" xfId="0" applyFont="1" applyBorder="1" applyAlignment="1">
      <alignment wrapText="1"/>
    </xf>
    <xf numFmtId="0" fontId="13" fillId="0" borderId="0" xfId="0" applyFont="1" applyProtection="1">
      <protection locked="0"/>
    </xf>
    <xf numFmtId="49" fontId="76" fillId="22" borderId="0" xfId="0" applyNumberFormat="1" applyFont="1" applyFill="1" applyAlignment="1">
      <alignment horizontal="center"/>
    </xf>
    <xf numFmtId="49" fontId="83" fillId="0" borderId="0" xfId="0" applyNumberFormat="1" applyFont="1"/>
    <xf numFmtId="49" fontId="84" fillId="0" borderId="0" xfId="0" applyNumberFormat="1" applyFont="1"/>
    <xf numFmtId="49" fontId="76" fillId="23" borderId="0" xfId="0" applyNumberFormat="1" applyFont="1" applyFill="1" applyAlignment="1">
      <alignment horizontal="center"/>
    </xf>
    <xf numFmtId="0" fontId="82" fillId="0" borderId="0" xfId="0" applyFont="1"/>
    <xf numFmtId="0" fontId="85" fillId="0" borderId="0" xfId="0" applyFont="1"/>
    <xf numFmtId="4" fontId="86" fillId="24" borderId="0" xfId="0" applyNumberFormat="1" applyFont="1" applyFill="1"/>
    <xf numFmtId="4" fontId="84" fillId="24" borderId="0" xfId="0" applyNumberFormat="1" applyFont="1" applyFill="1" applyAlignment="1">
      <alignment horizontal="right"/>
    </xf>
    <xf numFmtId="4" fontId="86" fillId="24" borderId="0" xfId="0" applyNumberFormat="1" applyFont="1" applyFill="1" applyAlignment="1">
      <alignment wrapText="1"/>
    </xf>
    <xf numFmtId="4" fontId="86" fillId="24" borderId="0" xfId="0" applyNumberFormat="1" applyFont="1" applyFill="1" applyAlignment="1">
      <alignment horizontal="right" wrapText="1"/>
    </xf>
    <xf numFmtId="4" fontId="84" fillId="22" borderId="0" xfId="0" applyNumberFormat="1" applyFont="1" applyFill="1" applyAlignment="1">
      <alignment horizontal="right"/>
    </xf>
    <xf numFmtId="4" fontId="87" fillId="24" borderId="0" xfId="0" applyNumberFormat="1" applyFont="1" applyFill="1" applyAlignment="1">
      <alignment horizontal="right"/>
    </xf>
    <xf numFmtId="4" fontId="84" fillId="0" borderId="0" xfId="0" applyNumberFormat="1" applyFont="1" applyAlignment="1">
      <alignment horizontal="right"/>
    </xf>
    <xf numFmtId="4" fontId="86" fillId="24" borderId="0" xfId="0" applyNumberFormat="1" applyFont="1" applyFill="1" applyAlignment="1">
      <alignment horizontal="right"/>
    </xf>
    <xf numFmtId="2" fontId="84" fillId="24" borderId="0" xfId="0" applyNumberFormat="1" applyFont="1" applyFill="1" applyAlignment="1">
      <alignment horizontal="right"/>
    </xf>
    <xf numFmtId="0" fontId="85" fillId="24" borderId="0" xfId="0" applyFont="1" applyFill="1"/>
    <xf numFmtId="2" fontId="87" fillId="24" borderId="0" xfId="0" applyNumberFormat="1" applyFont="1" applyFill="1" applyAlignment="1">
      <alignment horizontal="right"/>
    </xf>
    <xf numFmtId="2" fontId="85" fillId="24" borderId="0" xfId="0" applyNumberFormat="1" applyFont="1" applyFill="1" applyAlignment="1">
      <alignment horizontal="right"/>
    </xf>
    <xf numFmtId="0" fontId="88" fillId="24" borderId="0" xfId="0" applyFont="1" applyFill="1"/>
    <xf numFmtId="0" fontId="87" fillId="24" borderId="0" xfId="0" applyFont="1" applyFill="1" applyAlignment="1">
      <alignment horizontal="right"/>
    </xf>
    <xf numFmtId="4" fontId="82" fillId="24" borderId="0" xfId="0" applyNumberFormat="1" applyFont="1" applyFill="1"/>
    <xf numFmtId="2" fontId="85" fillId="24" borderId="0" xfId="0" applyNumberFormat="1" applyFont="1" applyFill="1"/>
    <xf numFmtId="168" fontId="87" fillId="24" borderId="0" xfId="0" applyNumberFormat="1" applyFont="1" applyFill="1" applyAlignment="1">
      <alignment horizontal="right"/>
    </xf>
    <xf numFmtId="168" fontId="86" fillId="24" borderId="0" xfId="0" applyNumberFormat="1" applyFont="1" applyFill="1" applyAlignment="1">
      <alignment horizontal="right"/>
    </xf>
    <xf numFmtId="0" fontId="27" fillId="6" borderId="26" xfId="0" applyFont="1" applyFill="1" applyBorder="1" applyAlignment="1" applyProtection="1">
      <alignment vertical="center" wrapText="1"/>
    </xf>
    <xf numFmtId="0" fontId="39" fillId="6" borderId="0" xfId="0" applyFont="1" applyFill="1" applyBorder="1" applyAlignment="1" applyProtection="1">
      <alignment vertical="top" wrapText="1"/>
    </xf>
    <xf numFmtId="0" fontId="38" fillId="12" borderId="0" xfId="0" applyFont="1" applyFill="1" applyAlignment="1" applyProtection="1">
      <alignment vertical="top" wrapText="1"/>
    </xf>
    <xf numFmtId="0" fontId="28" fillId="6" borderId="0" xfId="0" applyFont="1" applyFill="1" applyBorder="1" applyAlignment="1" applyProtection="1">
      <alignment vertical="center" wrapText="1"/>
    </xf>
    <xf numFmtId="0" fontId="20" fillId="6" borderId="0" xfId="0" applyFont="1" applyFill="1" applyBorder="1" applyAlignment="1" applyProtection="1">
      <alignment horizontal="center" vertical="top" wrapText="1"/>
    </xf>
    <xf numFmtId="0" fontId="42" fillId="6" borderId="0" xfId="0" applyFont="1" applyFill="1" applyAlignment="1" applyProtection="1">
      <alignment vertical="top"/>
    </xf>
    <xf numFmtId="165" fontId="10" fillId="8" borderId="19" xfId="4" applyNumberFormat="1" applyFont="1" applyFill="1" applyBorder="1" applyAlignment="1" applyProtection="1">
      <alignment horizontal="left" vertical="top" wrapText="1"/>
      <protection locked="0"/>
    </xf>
    <xf numFmtId="0" fontId="29" fillId="6" borderId="0" xfId="0" applyFont="1" applyFill="1" applyBorder="1" applyAlignment="1" applyProtection="1">
      <alignment vertical="top"/>
    </xf>
    <xf numFmtId="0" fontId="29" fillId="6" borderId="0" xfId="0" applyFont="1" applyFill="1" applyBorder="1" applyAlignment="1" applyProtection="1">
      <alignment vertical="top" wrapText="1"/>
    </xf>
    <xf numFmtId="0" fontId="38" fillId="12" borderId="0" xfId="0" applyFont="1" applyFill="1" applyAlignment="1" applyProtection="1">
      <alignment vertical="top"/>
    </xf>
    <xf numFmtId="0" fontId="79" fillId="22" borderId="0" xfId="0" applyFont="1" applyFill="1"/>
    <xf numFmtId="0" fontId="79" fillId="22" borderId="0" xfId="0" applyFont="1" applyFill="1" applyAlignment="1">
      <alignment wrapText="1"/>
    </xf>
    <xf numFmtId="0" fontId="19" fillId="7" borderId="0" xfId="0" applyFont="1" applyFill="1" applyBorder="1" applyAlignment="1" applyProtection="1">
      <alignment horizontal="left" vertical="center"/>
    </xf>
    <xf numFmtId="0" fontId="29" fillId="6" borderId="15" xfId="0" applyFont="1" applyFill="1" applyBorder="1" applyAlignment="1" applyProtection="1">
      <alignment vertical="top" wrapText="1"/>
    </xf>
    <xf numFmtId="165" fontId="10" fillId="8" borderId="19" xfId="4" applyNumberFormat="1" applyFont="1" applyFill="1" applyBorder="1" applyAlignment="1" applyProtection="1">
      <alignment horizontal="right" vertical="center" wrapText="1"/>
      <protection locked="0"/>
    </xf>
    <xf numFmtId="165" fontId="10" fillId="6" borderId="19" xfId="4" applyNumberFormat="1" applyFont="1" applyFill="1" applyBorder="1" applyAlignment="1" applyProtection="1">
      <alignment horizontal="right" vertical="center" wrapText="1"/>
    </xf>
    <xf numFmtId="0" fontId="52" fillId="0" borderId="0" xfId="0" quotePrefix="1" applyFont="1" applyAlignment="1" applyProtection="1">
      <alignment horizontal="left" vertical="top"/>
      <protection locked="0"/>
    </xf>
    <xf numFmtId="0" fontId="36" fillId="10" borderId="0" xfId="0" applyFont="1" applyFill="1" applyBorder="1" applyAlignment="1" applyProtection="1">
      <alignment wrapText="1"/>
    </xf>
    <xf numFmtId="0" fontId="12" fillId="4" borderId="0" xfId="0" applyFont="1" applyFill="1" applyBorder="1" applyAlignment="1">
      <alignment wrapText="1"/>
    </xf>
    <xf numFmtId="0" fontId="1" fillId="3" borderId="0" xfId="0" applyFont="1" applyFill="1" applyBorder="1"/>
    <xf numFmtId="0" fontId="1" fillId="0" borderId="0" xfId="0" applyFont="1" applyBorder="1"/>
    <xf numFmtId="0" fontId="20" fillId="6" borderId="0" xfId="0" applyFont="1" applyFill="1" applyAlignment="1" applyProtection="1">
      <alignment vertical="center" wrapText="1"/>
    </xf>
    <xf numFmtId="0" fontId="20" fillId="6" borderId="0" xfId="0" applyFont="1" applyFill="1" applyAlignment="1" applyProtection="1">
      <alignment horizontal="left" vertical="center"/>
    </xf>
    <xf numFmtId="0" fontId="19" fillId="6" borderId="0" xfId="0" applyFont="1" applyFill="1" applyAlignment="1" applyProtection="1">
      <alignment horizontal="left" vertical="center"/>
    </xf>
    <xf numFmtId="0" fontId="28" fillId="13" borderId="25" xfId="0" applyFont="1" applyFill="1" applyBorder="1" applyAlignment="1" applyProtection="1">
      <alignment horizontal="right" vertical="center"/>
    </xf>
    <xf numFmtId="0" fontId="28" fillId="13" borderId="25" xfId="0" applyFont="1" applyFill="1" applyBorder="1" applyAlignment="1" applyProtection="1">
      <alignment horizontal="left" vertical="center"/>
    </xf>
    <xf numFmtId="165" fontId="14" fillId="6" borderId="0" xfId="4" applyNumberFormat="1" applyFont="1" applyFill="1" applyBorder="1" applyAlignment="1" applyProtection="1">
      <alignment vertical="top" wrapText="1"/>
    </xf>
    <xf numFmtId="165" fontId="14" fillId="6" borderId="0" xfId="4" applyNumberFormat="1" applyFont="1" applyFill="1" applyBorder="1" applyAlignment="1" applyProtection="1">
      <alignment horizontal="right" vertical="top"/>
    </xf>
    <xf numFmtId="165" fontId="10" fillId="6" borderId="0" xfId="4" applyNumberFormat="1" applyFont="1" applyFill="1" applyBorder="1" applyAlignment="1" applyProtection="1">
      <alignment vertical="top"/>
    </xf>
    <xf numFmtId="0" fontId="20" fillId="6" borderId="0" xfId="0" applyFont="1" applyFill="1" applyAlignment="1" applyProtection="1">
      <alignment horizontal="left" vertical="center" wrapText="1"/>
    </xf>
    <xf numFmtId="0" fontId="20" fillId="6" borderId="0" xfId="0" applyFont="1" applyFill="1" applyBorder="1" applyAlignment="1" applyProtection="1">
      <alignment vertical="center"/>
    </xf>
    <xf numFmtId="0" fontId="42" fillId="6" borderId="0" xfId="0" applyFont="1" applyFill="1" applyBorder="1" applyAlignment="1" applyProtection="1">
      <alignment horizontal="right"/>
    </xf>
    <xf numFmtId="0" fontId="42" fillId="6" borderId="0" xfId="0" applyFont="1" applyFill="1" applyBorder="1" applyAlignment="1" applyProtection="1">
      <alignment horizontal="right" vertical="top"/>
    </xf>
    <xf numFmtId="165" fontId="10" fillId="6" borderId="0" xfId="4" applyNumberFormat="1" applyFont="1" applyFill="1" applyBorder="1" applyAlignment="1" applyProtection="1">
      <alignment horizontal="right" vertical="top"/>
    </xf>
    <xf numFmtId="0" fontId="0" fillId="0" borderId="80" xfId="0" applyFont="1" applyFill="1" applyBorder="1" applyProtection="1"/>
    <xf numFmtId="0" fontId="0" fillId="3" borderId="80" xfId="0" applyFont="1" applyFill="1" applyBorder="1" applyProtection="1"/>
    <xf numFmtId="168" fontId="0" fillId="3" borderId="22" xfId="0" applyNumberFormat="1" applyFont="1" applyFill="1" applyBorder="1"/>
    <xf numFmtId="168" fontId="0" fillId="0" borderId="22" xfId="0" applyNumberFormat="1" applyFont="1" applyBorder="1"/>
    <xf numFmtId="0" fontId="45" fillId="17" borderId="79" xfId="0" applyFont="1" applyFill="1" applyBorder="1" applyAlignment="1" applyProtection="1">
      <alignment horizontal="center" vertical="center" wrapText="1"/>
    </xf>
    <xf numFmtId="168" fontId="0" fillId="3" borderId="80" xfId="0" applyNumberFormat="1" applyFont="1" applyFill="1" applyBorder="1" applyProtection="1"/>
    <xf numFmtId="9" fontId="14" fillId="6" borderId="0" xfId="5" applyFont="1" applyFill="1" applyBorder="1" applyAlignment="1" applyProtection="1">
      <alignment horizontal="center" vertical="top" wrapText="1"/>
    </xf>
    <xf numFmtId="165" fontId="96" fillId="6" borderId="19" xfId="4" applyNumberFormat="1" applyFont="1" applyFill="1" applyBorder="1" applyAlignment="1" applyProtection="1">
      <alignment horizontal="left" vertical="top" wrapText="1"/>
    </xf>
    <xf numFmtId="168" fontId="0" fillId="0" borderId="0" xfId="0" applyNumberFormat="1" applyProtection="1"/>
    <xf numFmtId="165" fontId="14" fillId="6" borderId="0" xfId="4" applyNumberFormat="1" applyFont="1" applyFill="1" applyBorder="1" applyAlignment="1" applyProtection="1">
      <alignment horizontal="right" vertical="top" wrapText="1"/>
    </xf>
    <xf numFmtId="0" fontId="28" fillId="13" borderId="19" xfId="0" applyFont="1" applyFill="1" applyBorder="1" applyAlignment="1" applyProtection="1">
      <alignment horizontal="right" vertical="center" wrapText="1"/>
    </xf>
    <xf numFmtId="0" fontId="36" fillId="10" borderId="0" xfId="0" applyFont="1" applyFill="1" applyBorder="1" applyAlignment="1" applyProtection="1"/>
    <xf numFmtId="0" fontId="28" fillId="13" borderId="0" xfId="0" applyFont="1" applyFill="1" applyBorder="1" applyAlignment="1" applyProtection="1">
      <alignment horizontal="left"/>
    </xf>
    <xf numFmtId="0" fontId="28" fillId="13" borderId="76" xfId="0" applyFont="1" applyFill="1" applyBorder="1" applyAlignment="1" applyProtection="1">
      <alignment horizontal="left"/>
    </xf>
    <xf numFmtId="0" fontId="45" fillId="12" borderId="0" xfId="0" applyFont="1" applyFill="1" applyAlignment="1" applyProtection="1">
      <alignment vertical="top"/>
    </xf>
    <xf numFmtId="0" fontId="45" fillId="12" borderId="0" xfId="0" applyFont="1" applyFill="1" applyAlignment="1" applyProtection="1">
      <alignment horizontal="right" vertical="top"/>
    </xf>
    <xf numFmtId="0" fontId="28" fillId="13" borderId="0" xfId="0" applyFont="1" applyFill="1" applyBorder="1" applyAlignment="1" applyProtection="1">
      <alignment wrapText="1"/>
    </xf>
    <xf numFmtId="0" fontId="1" fillId="9" borderId="0" xfId="0" applyFont="1" applyFill="1" applyBorder="1" applyProtection="1"/>
    <xf numFmtId="165" fontId="0" fillId="0" borderId="0" xfId="4" applyNumberFormat="1" applyFont="1" applyBorder="1" applyAlignment="1" applyProtection="1">
      <alignment horizontal="right"/>
    </xf>
    <xf numFmtId="0" fontId="0" fillId="0" borderId="0" xfId="0" applyFill="1" applyBorder="1" applyProtection="1"/>
    <xf numFmtId="0" fontId="13" fillId="0" borderId="0" xfId="0" applyFont="1" applyFill="1" applyProtection="1"/>
    <xf numFmtId="0" fontId="20" fillId="6" borderId="14" xfId="0" applyFont="1" applyFill="1" applyBorder="1" applyAlignment="1" applyProtection="1">
      <alignment horizontal="left" vertical="center" wrapText="1"/>
    </xf>
    <xf numFmtId="0" fontId="29" fillId="6" borderId="15" xfId="0" applyFont="1" applyFill="1" applyBorder="1" applyAlignment="1" applyProtection="1">
      <alignment horizontal="left" vertical="center" wrapText="1"/>
    </xf>
    <xf numFmtId="0" fontId="20" fillId="6" borderId="0" xfId="0" applyFont="1" applyFill="1" applyBorder="1" applyAlignment="1" applyProtection="1">
      <alignment horizontal="left"/>
    </xf>
    <xf numFmtId="0" fontId="38" fillId="12" borderId="0" xfId="0" applyFont="1" applyFill="1" applyAlignment="1" applyProtection="1">
      <alignment horizontal="right" vertical="top"/>
    </xf>
    <xf numFmtId="0" fontId="12" fillId="4" borderId="82" xfId="0" applyFont="1" applyFill="1" applyBorder="1" applyAlignment="1">
      <alignment horizontal="center" wrapText="1"/>
    </xf>
    <xf numFmtId="0" fontId="0" fillId="3" borderId="82" xfId="0" applyFont="1" applyFill="1" applyBorder="1"/>
    <xf numFmtId="0" fontId="0" fillId="0" borderId="82" xfId="0" applyFont="1" applyBorder="1"/>
    <xf numFmtId="0" fontId="19" fillId="6" borderId="0" xfId="0" applyFont="1" applyFill="1" applyAlignment="1" applyProtection="1">
      <alignment horizontal="left" vertical="center" wrapText="1"/>
    </xf>
    <xf numFmtId="0" fontId="19" fillId="6" borderId="0" xfId="0" applyFont="1" applyFill="1" applyBorder="1" applyAlignment="1" applyProtection="1">
      <alignment horizontal="left" vertical="center" wrapText="1"/>
    </xf>
    <xf numFmtId="0" fontId="10" fillId="8" borderId="19" xfId="0" applyFont="1" applyFill="1" applyBorder="1" applyAlignment="1" applyProtection="1">
      <alignment horizontal="left" vertical="top" wrapText="1"/>
      <protection locked="0"/>
    </xf>
    <xf numFmtId="165" fontId="10" fillId="6" borderId="19" xfId="4" applyNumberFormat="1" applyFont="1" applyFill="1" applyBorder="1" applyAlignment="1" applyProtection="1">
      <alignment horizontal="left" vertical="top" wrapText="1"/>
    </xf>
    <xf numFmtId="0" fontId="19" fillId="6" borderId="0" xfId="0" applyFont="1" applyFill="1" applyAlignment="1" applyProtection="1">
      <alignment horizontal="right" vertical="center"/>
    </xf>
    <xf numFmtId="0" fontId="29" fillId="6" borderId="0" xfId="0" applyFont="1" applyFill="1" applyAlignment="1" applyProtection="1">
      <alignment horizontal="center" vertical="top" wrapText="1"/>
    </xf>
    <xf numFmtId="0" fontId="28" fillId="13" borderId="76" xfId="0" applyFont="1" applyFill="1" applyBorder="1" applyAlignment="1" applyProtection="1">
      <alignment horizontal="center" wrapText="1"/>
    </xf>
    <xf numFmtId="0" fontId="28" fillId="13" borderId="25" xfId="0" applyFont="1" applyFill="1" applyBorder="1" applyAlignment="1" applyProtection="1">
      <alignment horizontal="center" wrapText="1"/>
    </xf>
    <xf numFmtId="0" fontId="28" fillId="13" borderId="25" xfId="0" applyFont="1" applyFill="1" applyBorder="1" applyAlignment="1" applyProtection="1">
      <alignment horizontal="left" wrapText="1"/>
    </xf>
    <xf numFmtId="0" fontId="19" fillId="6" borderId="26" xfId="0" applyFont="1" applyFill="1" applyBorder="1" applyAlignment="1" applyProtection="1">
      <alignment vertical="center"/>
    </xf>
    <xf numFmtId="0" fontId="19" fillId="6" borderId="0" xfId="0" applyFont="1" applyFill="1" applyAlignment="1" applyProtection="1">
      <alignment horizontal="left" vertical="top" wrapText="1"/>
    </xf>
    <xf numFmtId="0" fontId="27" fillId="6" borderId="0" xfId="0" applyFont="1" applyFill="1" applyAlignment="1" applyProtection="1">
      <alignment horizontal="left" vertical="top" wrapText="1"/>
    </xf>
    <xf numFmtId="0" fontId="28" fillId="6" borderId="0" xfId="0" applyFont="1" applyFill="1" applyAlignment="1" applyProtection="1">
      <alignment horizontal="right" vertical="center"/>
    </xf>
    <xf numFmtId="9" fontId="10" fillId="6" borderId="19" xfId="5" applyFont="1" applyFill="1" applyBorder="1" applyAlignment="1" applyProtection="1">
      <alignment horizontal="center" vertical="top" wrapText="1"/>
    </xf>
    <xf numFmtId="9" fontId="10" fillId="6" borderId="0" xfId="5" applyFont="1" applyFill="1" applyBorder="1" applyAlignment="1" applyProtection="1">
      <alignment horizontal="right" vertical="top" wrapText="1"/>
    </xf>
    <xf numFmtId="9" fontId="10" fillId="6" borderId="0" xfId="5" applyFont="1" applyFill="1" applyBorder="1" applyAlignment="1" applyProtection="1">
      <alignment horizontal="center" vertical="top" wrapText="1"/>
    </xf>
    <xf numFmtId="9" fontId="10" fillId="6" borderId="0" xfId="5" applyFont="1" applyFill="1" applyBorder="1" applyAlignment="1" applyProtection="1">
      <alignment horizontal="right" vertical="top"/>
    </xf>
    <xf numFmtId="3" fontId="10" fillId="6" borderId="19" xfId="5" applyNumberFormat="1" applyFont="1" applyFill="1" applyBorder="1" applyAlignment="1" applyProtection="1">
      <alignment horizontal="right" vertical="top" wrapText="1"/>
    </xf>
    <xf numFmtId="169" fontId="10" fillId="6" borderId="19" xfId="5" applyNumberFormat="1" applyFont="1" applyFill="1" applyBorder="1" applyAlignment="1" applyProtection="1">
      <alignment horizontal="right" vertical="top" wrapText="1"/>
    </xf>
    <xf numFmtId="3" fontId="10" fillId="6" borderId="0" xfId="5" applyNumberFormat="1" applyFont="1" applyFill="1" applyBorder="1" applyAlignment="1" applyProtection="1">
      <alignment horizontal="right" vertical="top" wrapText="1"/>
    </xf>
    <xf numFmtId="9" fontId="14" fillId="6" borderId="19" xfId="5" applyNumberFormat="1" applyFont="1" applyFill="1" applyBorder="1" applyAlignment="1" applyProtection="1">
      <alignment horizontal="right" vertical="top" wrapText="1"/>
    </xf>
    <xf numFmtId="165" fontId="10" fillId="6" borderId="23" xfId="4" applyNumberFormat="1" applyFont="1" applyFill="1" applyBorder="1" applyAlignment="1" applyProtection="1">
      <alignment vertical="top" wrapText="1"/>
    </xf>
    <xf numFmtId="0" fontId="10" fillId="6" borderId="19" xfId="4" applyNumberFormat="1" applyFont="1" applyFill="1" applyBorder="1" applyAlignment="1" applyProtection="1">
      <alignment horizontal="left" vertical="top" wrapText="1"/>
    </xf>
    <xf numFmtId="165" fontId="10" fillId="6" borderId="19" xfId="4" applyNumberFormat="1" applyFont="1" applyFill="1" applyBorder="1" applyAlignment="1" applyProtection="1">
      <alignment horizontal="right" vertical="top" wrapText="1"/>
    </xf>
    <xf numFmtId="165" fontId="97" fillId="6" borderId="19" xfId="4" applyNumberFormat="1" applyFont="1" applyFill="1" applyBorder="1" applyAlignment="1" applyProtection="1">
      <alignment horizontal="left" vertical="top" wrapText="1"/>
    </xf>
    <xf numFmtId="9" fontId="97" fillId="6" borderId="19" xfId="5" applyFont="1" applyFill="1" applyBorder="1" applyAlignment="1" applyProtection="1">
      <alignment horizontal="right" vertical="top" wrapText="1"/>
    </xf>
    <xf numFmtId="164" fontId="10" fillId="6" borderId="19" xfId="4" applyNumberFormat="1" applyFont="1" applyFill="1" applyBorder="1" applyAlignment="1" applyProtection="1">
      <alignment horizontal="center" vertical="top" wrapText="1"/>
    </xf>
    <xf numFmtId="3" fontId="10" fillId="6" borderId="23" xfId="5" applyNumberFormat="1" applyFont="1" applyFill="1" applyBorder="1" applyAlignment="1" applyProtection="1">
      <alignment vertical="top" wrapText="1"/>
    </xf>
    <xf numFmtId="165" fontId="14" fillId="6" borderId="23" xfId="4" applyNumberFormat="1" applyFont="1" applyFill="1" applyBorder="1" applyAlignment="1" applyProtection="1">
      <alignment vertical="top" wrapText="1"/>
    </xf>
    <xf numFmtId="165" fontId="10" fillId="6" borderId="0" xfId="4" applyNumberFormat="1" applyFont="1" applyFill="1" applyBorder="1" applyAlignment="1" applyProtection="1">
      <alignment vertical="top" wrapText="1"/>
    </xf>
    <xf numFmtId="0" fontId="19" fillId="6" borderId="0" xfId="0" applyFont="1" applyFill="1" applyBorder="1" applyAlignment="1" applyProtection="1">
      <alignment horizontal="left" vertical="top" wrapText="1"/>
    </xf>
    <xf numFmtId="0" fontId="19" fillId="6" borderId="0" xfId="0" applyFont="1" applyFill="1" applyAlignment="1" applyProtection="1">
      <alignment horizontal="left" vertical="center" wrapText="1"/>
    </xf>
    <xf numFmtId="0" fontId="19" fillId="6" borderId="0" xfId="0" applyFont="1" applyFill="1" applyBorder="1" applyAlignment="1" applyProtection="1">
      <alignment horizontal="left" vertical="center" wrapText="1"/>
    </xf>
    <xf numFmtId="0" fontId="10" fillId="8" borderId="19" xfId="0" applyFont="1" applyFill="1" applyBorder="1" applyAlignment="1" applyProtection="1">
      <alignment horizontal="left" vertical="top" wrapText="1"/>
      <protection locked="0"/>
    </xf>
    <xf numFmtId="165" fontId="10" fillId="8" borderId="19" xfId="4" applyNumberFormat="1" applyFont="1" applyFill="1" applyBorder="1" applyAlignment="1" applyProtection="1">
      <alignment horizontal="left" vertical="top" wrapText="1"/>
      <protection locked="0"/>
    </xf>
    <xf numFmtId="165" fontId="10" fillId="6" borderId="19" xfId="4" applyNumberFormat="1" applyFont="1" applyFill="1" applyBorder="1" applyAlignment="1" applyProtection="1">
      <alignment horizontal="left" vertical="top" wrapText="1"/>
    </xf>
    <xf numFmtId="0" fontId="19" fillId="6" borderId="0" xfId="0" applyFont="1" applyFill="1" applyAlignment="1" applyProtection="1">
      <alignment horizontal="right" vertical="center"/>
    </xf>
    <xf numFmtId="0" fontId="29" fillId="6" borderId="0" xfId="0" applyFont="1" applyFill="1" applyBorder="1" applyAlignment="1" applyProtection="1">
      <alignment horizontal="center" vertical="top" wrapText="1"/>
    </xf>
    <xf numFmtId="0" fontId="1" fillId="7" borderId="0" xfId="1" applyFill="1" applyProtection="1"/>
    <xf numFmtId="0" fontId="1" fillId="6" borderId="14" xfId="1" applyFill="1" applyBorder="1" applyAlignment="1" applyProtection="1">
      <alignment horizontal="center" vertical="top" wrapText="1"/>
    </xf>
    <xf numFmtId="0" fontId="1" fillId="6" borderId="0" xfId="1" applyFill="1" applyAlignment="1" applyProtection="1">
      <alignment horizontal="right" vertical="center"/>
    </xf>
    <xf numFmtId="0" fontId="1" fillId="6" borderId="0" xfId="1" applyFill="1" applyAlignment="1" applyProtection="1">
      <alignment vertical="center" wrapText="1"/>
    </xf>
    <xf numFmtId="165" fontId="1" fillId="6" borderId="0" xfId="1" applyNumberFormat="1" applyFill="1" applyBorder="1" applyAlignment="1" applyProtection="1">
      <alignment horizontal="left" vertical="top" wrapText="1"/>
    </xf>
    <xf numFmtId="0" fontId="1" fillId="6" borderId="15" xfId="1" applyFill="1" applyBorder="1" applyAlignment="1" applyProtection="1">
      <alignment horizontal="left" vertical="top" wrapText="1"/>
    </xf>
    <xf numFmtId="0" fontId="1" fillId="0" borderId="0" xfId="1" applyProtection="1"/>
    <xf numFmtId="0" fontId="1" fillId="6" borderId="0" xfId="1" applyFill="1" applyAlignment="1" applyProtection="1">
      <alignment horizontal="center" vertical="top" wrapText="1"/>
    </xf>
    <xf numFmtId="0" fontId="1" fillId="7" borderId="0" xfId="2" applyFill="1" applyProtection="1"/>
    <xf numFmtId="0" fontId="1" fillId="6" borderId="15" xfId="2" applyFill="1" applyBorder="1" applyAlignment="1" applyProtection="1">
      <alignment horizontal="right"/>
    </xf>
    <xf numFmtId="0" fontId="1" fillId="6" borderId="15" xfId="2" applyFill="1" applyBorder="1" applyAlignment="1" applyProtection="1">
      <alignment vertical="top"/>
    </xf>
    <xf numFmtId="0" fontId="1" fillId="6" borderId="18" xfId="2" applyFill="1" applyBorder="1" applyAlignment="1" applyProtection="1">
      <alignment horizontal="right"/>
    </xf>
    <xf numFmtId="0" fontId="1" fillId="6" borderId="13" xfId="2" applyFill="1" applyBorder="1" applyAlignment="1" applyProtection="1">
      <alignment vertical="top" wrapText="1"/>
    </xf>
    <xf numFmtId="0" fontId="1" fillId="6" borderId="15" xfId="2" applyFill="1" applyBorder="1" applyAlignment="1" applyProtection="1">
      <alignment horizontal="left" vertical="top" wrapText="1"/>
    </xf>
    <xf numFmtId="0" fontId="1" fillId="6" borderId="18" xfId="2" applyFill="1" applyBorder="1" applyAlignment="1" applyProtection="1">
      <alignment horizontal="left" vertical="top" wrapText="1"/>
    </xf>
    <xf numFmtId="0" fontId="1" fillId="0" borderId="0" xfId="2" applyProtection="1"/>
    <xf numFmtId="0" fontId="0" fillId="6" borderId="14" xfId="0" applyFill="1" applyBorder="1" applyAlignment="1" applyProtection="1">
      <alignment horizontal="center" vertical="top" wrapText="1"/>
    </xf>
    <xf numFmtId="9" fontId="0" fillId="6" borderId="0" xfId="0" applyNumberFormat="1" applyFill="1" applyBorder="1" applyAlignment="1" applyProtection="1">
      <alignment horizontal="right" vertical="top" wrapText="1"/>
    </xf>
    <xf numFmtId="9" fontId="0" fillId="6" borderId="19" xfId="0" applyNumberFormat="1" applyFill="1" applyBorder="1" applyAlignment="1" applyProtection="1">
      <alignment horizontal="center" vertical="top" wrapText="1"/>
    </xf>
    <xf numFmtId="0" fontId="1" fillId="0" borderId="0" xfId="2" applyAlignment="1" applyProtection="1">
      <alignment vertical="center"/>
    </xf>
    <xf numFmtId="0" fontId="1" fillId="0" borderId="0" xfId="1" applyAlignment="1" applyProtection="1">
      <alignment horizontal="left"/>
    </xf>
    <xf numFmtId="0" fontId="1" fillId="6" borderId="14" xfId="1" applyFill="1" applyBorder="1" applyAlignment="1" applyProtection="1">
      <alignment horizontal="right" vertical="center"/>
    </xf>
    <xf numFmtId="0" fontId="0" fillId="6" borderId="0" xfId="0" applyFill="1" applyAlignment="1" applyProtection="1">
      <alignment horizontal="right" vertical="center"/>
    </xf>
    <xf numFmtId="0" fontId="0" fillId="6" borderId="0" xfId="0" applyFill="1" applyAlignment="1" applyProtection="1">
      <alignment vertical="center" wrapText="1"/>
    </xf>
    <xf numFmtId="165" fontId="0" fillId="6" borderId="0" xfId="0" applyNumberFormat="1" applyFill="1" applyBorder="1" applyAlignment="1" applyProtection="1">
      <alignment horizontal="left" vertical="top" wrapText="1"/>
    </xf>
    <xf numFmtId="0" fontId="1" fillId="6" borderId="0" xfId="1" applyFill="1" applyAlignment="1" applyProtection="1">
      <alignment horizontal="left" vertical="center" wrapText="1"/>
    </xf>
    <xf numFmtId="0" fontId="1" fillId="6" borderId="0" xfId="1" applyFill="1" applyAlignment="1" applyProtection="1">
      <alignment horizontal="left" vertical="top" wrapText="1"/>
    </xf>
    <xf numFmtId="165" fontId="0" fillId="6" borderId="19" xfId="0" applyNumberFormat="1" applyFill="1" applyBorder="1" applyAlignment="1" applyProtection="1">
      <alignment horizontal="left" vertical="top" wrapText="1"/>
    </xf>
    <xf numFmtId="0" fontId="1" fillId="7" borderId="0" xfId="1" applyFill="1" applyAlignment="1" applyProtection="1">
      <alignment horizontal="left"/>
    </xf>
    <xf numFmtId="0" fontId="1" fillId="6" borderId="14" xfId="1" applyFill="1" applyBorder="1" applyAlignment="1" applyProtection="1">
      <alignment horizontal="left" vertical="center"/>
    </xf>
    <xf numFmtId="0" fontId="19" fillId="6" borderId="0" xfId="1" applyFont="1" applyFill="1" applyAlignment="1" applyProtection="1">
      <alignment horizontal="left" vertical="center"/>
    </xf>
    <xf numFmtId="0" fontId="28" fillId="13" borderId="76" xfId="0" applyFont="1" applyFill="1" applyBorder="1" applyAlignment="1" applyProtection="1">
      <alignment horizontal="center" vertical="center" wrapText="1"/>
    </xf>
    <xf numFmtId="0" fontId="20" fillId="6" borderId="0" xfId="0" applyFont="1" applyFill="1" applyAlignment="1">
      <alignment horizontal="left" vertical="center"/>
    </xf>
    <xf numFmtId="9" fontId="14" fillId="6" borderId="0" xfId="5" applyNumberFormat="1" applyFont="1" applyFill="1" applyBorder="1" applyAlignment="1" applyProtection="1">
      <alignment horizontal="right" vertical="top" wrapText="1"/>
    </xf>
    <xf numFmtId="0" fontId="29" fillId="6" borderId="0" xfId="0" applyFont="1" applyFill="1" applyAlignment="1" applyProtection="1">
      <alignment horizontal="right" vertical="top" wrapText="1"/>
    </xf>
    <xf numFmtId="0" fontId="92" fillId="6" borderId="0" xfId="0" applyFont="1" applyFill="1" applyAlignment="1" applyProtection="1">
      <alignment horizontal="left" vertical="center"/>
    </xf>
    <xf numFmtId="0" fontId="111" fillId="7" borderId="0" xfId="3" applyFill="1" applyProtection="1"/>
    <xf numFmtId="0" fontId="111" fillId="6" borderId="14" xfId="3" applyFill="1" applyBorder="1" applyAlignment="1" applyProtection="1">
      <alignment horizontal="center" vertical="top" wrapText="1"/>
    </xf>
    <xf numFmtId="0" fontId="111" fillId="6" borderId="0" xfId="3" applyFill="1" applyAlignment="1" applyProtection="1">
      <alignment horizontal="left" vertical="center" wrapText="1"/>
    </xf>
    <xf numFmtId="0" fontId="111" fillId="6" borderId="15" xfId="3" applyFill="1" applyBorder="1" applyAlignment="1" applyProtection="1">
      <alignment horizontal="left" vertical="top" wrapText="1"/>
    </xf>
    <xf numFmtId="0" fontId="111" fillId="0" borderId="0" xfId="3" applyProtection="1"/>
    <xf numFmtId="0" fontId="111" fillId="6" borderId="0" xfId="3" applyFill="1" applyAlignment="1" applyProtection="1">
      <alignment horizontal="right" vertical="center"/>
    </xf>
    <xf numFmtId="165" fontId="111" fillId="6" borderId="0" xfId="3" applyNumberFormat="1" applyFill="1" applyBorder="1" applyAlignment="1" applyProtection="1">
      <alignment horizontal="left" vertical="top" wrapText="1"/>
    </xf>
    <xf numFmtId="0" fontId="111" fillId="6" borderId="0" xfId="3" applyFill="1" applyAlignment="1" applyProtection="1">
      <alignment vertical="center" wrapText="1"/>
    </xf>
    <xf numFmtId="0" fontId="19" fillId="6" borderId="0" xfId="0" applyFont="1" applyFill="1" applyBorder="1" applyAlignment="1" applyProtection="1">
      <alignment horizontal="right"/>
    </xf>
    <xf numFmtId="0" fontId="19" fillId="6" borderId="0" xfId="0" applyFont="1" applyFill="1" applyBorder="1" applyAlignment="1" applyProtection="1">
      <alignment horizontal="left"/>
    </xf>
    <xf numFmtId="0" fontId="60" fillId="6" borderId="0" xfId="0" applyFont="1" applyFill="1" applyBorder="1" applyAlignment="1" applyProtection="1">
      <alignment horizontal="left" vertical="top" wrapText="1"/>
    </xf>
    <xf numFmtId="0" fontId="0" fillId="0" borderId="27" xfId="0" applyBorder="1" applyAlignment="1" applyProtection="1">
      <alignment vertical="top" wrapText="1"/>
    </xf>
    <xf numFmtId="0" fontId="0" fillId="0" borderId="0" xfId="0" applyBorder="1" applyAlignment="1" applyProtection="1">
      <alignment vertical="top" wrapText="1"/>
    </xf>
    <xf numFmtId="0" fontId="20" fillId="6" borderId="0" xfId="0" applyFont="1" applyFill="1" applyBorder="1" applyAlignment="1" applyProtection="1">
      <alignment horizontal="right" vertical="center" wrapText="1"/>
    </xf>
    <xf numFmtId="0" fontId="19" fillId="6" borderId="0" xfId="0" applyFont="1" applyFill="1" applyBorder="1" applyAlignment="1" applyProtection="1">
      <alignment horizontal="left" vertical="top" wrapText="1"/>
    </xf>
    <xf numFmtId="0" fontId="10" fillId="8" borderId="19" xfId="0" applyFont="1" applyFill="1" applyBorder="1" applyAlignment="1" applyProtection="1">
      <alignment horizontal="left" vertical="top" wrapText="1"/>
      <protection locked="0"/>
    </xf>
    <xf numFmtId="165" fontId="10" fillId="6" borderId="19" xfId="4" applyNumberFormat="1" applyFont="1" applyFill="1" applyBorder="1" applyAlignment="1" applyProtection="1">
      <alignment horizontal="left" vertical="top" wrapText="1"/>
    </xf>
    <xf numFmtId="0" fontId="29" fillId="6" borderId="24" xfId="0" applyFont="1" applyFill="1" applyBorder="1" applyAlignment="1" applyProtection="1">
      <alignment horizontal="center" vertical="top" wrapText="1"/>
    </xf>
    <xf numFmtId="165" fontId="0" fillId="0" borderId="0" xfId="0" applyNumberFormat="1" applyProtection="1">
      <protection locked="0"/>
    </xf>
    <xf numFmtId="0" fontId="37" fillId="11" borderId="27" xfId="0" applyFont="1" applyFill="1" applyBorder="1" applyAlignment="1" applyProtection="1">
      <alignment vertical="center" wrapText="1"/>
    </xf>
    <xf numFmtId="0" fontId="37" fillId="11" borderId="66" xfId="0" applyFont="1" applyFill="1" applyBorder="1" applyAlignment="1" applyProtection="1">
      <alignment vertical="center" wrapText="1"/>
    </xf>
    <xf numFmtId="0" fontId="37" fillId="11" borderId="52" xfId="0" applyFont="1" applyFill="1" applyBorder="1" applyAlignment="1" applyProtection="1">
      <alignment vertical="center"/>
    </xf>
    <xf numFmtId="0" fontId="27" fillId="6" borderId="0" xfId="0" applyFont="1" applyFill="1" applyBorder="1" applyAlignment="1" applyProtection="1">
      <alignment horizontal="right" vertical="center"/>
    </xf>
    <xf numFmtId="0" fontId="1" fillId="6" borderId="67" xfId="0" applyFont="1" applyFill="1" applyBorder="1" applyProtection="1"/>
    <xf numFmtId="9" fontId="10" fillId="6" borderId="19" xfId="5" applyFont="1" applyFill="1" applyBorder="1" applyAlignment="1" applyProtection="1">
      <alignment horizontal="left" vertical="top" wrapText="1"/>
      <protection locked="0"/>
    </xf>
    <xf numFmtId="3" fontId="10" fillId="6" borderId="19" xfId="5" applyNumberFormat="1" applyFont="1" applyFill="1" applyBorder="1" applyAlignment="1" applyProtection="1">
      <alignment horizontal="right" vertical="top" wrapText="1"/>
      <protection locked="0"/>
    </xf>
    <xf numFmtId="0" fontId="10" fillId="8" borderId="19" xfId="0" applyFont="1" applyFill="1" applyBorder="1" applyAlignment="1" applyProtection="1">
      <alignment horizontal="left" vertical="top" wrapText="1"/>
      <protection locked="0"/>
    </xf>
    <xf numFmtId="9" fontId="96" fillId="6" borderId="19" xfId="5" applyFont="1" applyFill="1" applyBorder="1" applyAlignment="1" applyProtection="1">
      <alignment horizontal="right" vertical="top" wrapText="1"/>
    </xf>
    <xf numFmtId="0" fontId="19" fillId="6" borderId="0" xfId="0" applyFont="1" applyFill="1" applyAlignment="1" applyProtection="1">
      <alignment horizontal="left" vertical="center" wrapText="1"/>
    </xf>
    <xf numFmtId="0" fontId="19" fillId="6" borderId="0" xfId="0" applyFont="1" applyFill="1" applyBorder="1" applyAlignment="1" applyProtection="1">
      <alignment horizontal="left" vertical="center"/>
    </xf>
    <xf numFmtId="0" fontId="37" fillId="11" borderId="0" xfId="0" applyFont="1" applyFill="1" applyBorder="1" applyAlignment="1" applyProtection="1">
      <alignment horizontal="center" vertical="center" wrapText="1"/>
    </xf>
    <xf numFmtId="0" fontId="112" fillId="0" borderId="0" xfId="0" applyFont="1" applyProtection="1"/>
    <xf numFmtId="165" fontId="10" fillId="8" borderId="19" xfId="4" applyNumberFormat="1" applyFont="1" applyFill="1" applyBorder="1" applyAlignment="1" applyProtection="1">
      <alignment horizontal="left" vertical="top" wrapText="1"/>
      <protection locked="0"/>
    </xf>
    <xf numFmtId="0" fontId="115" fillId="0" borderId="0" xfId="0" applyFont="1" applyFill="1" applyAlignment="1" applyProtection="1">
      <alignment wrapText="1"/>
    </xf>
    <xf numFmtId="0" fontId="1" fillId="0" borderId="0" xfId="0" applyFont="1" applyFill="1" applyAlignment="1" applyProtection="1">
      <alignment wrapText="1"/>
    </xf>
    <xf numFmtId="0" fontId="52" fillId="0" borderId="0" xfId="0" applyFont="1" applyAlignment="1">
      <alignment horizontal="left" vertical="top"/>
    </xf>
    <xf numFmtId="0" fontId="0" fillId="6" borderId="67" xfId="0" applyFill="1" applyBorder="1"/>
    <xf numFmtId="165" fontId="10" fillId="7" borderId="19" xfId="4" applyNumberFormat="1" applyFont="1" applyFill="1" applyBorder="1" applyAlignment="1" applyProtection="1">
      <alignment horizontal="right" vertical="top" wrapText="1"/>
      <protection locked="0"/>
    </xf>
    <xf numFmtId="0" fontId="64" fillId="0" borderId="0" xfId="0" quotePrefix="1" applyFont="1" applyAlignment="1" applyProtection="1">
      <alignment horizontal="left" vertical="top"/>
      <protection locked="0"/>
    </xf>
    <xf numFmtId="0" fontId="10" fillId="0" borderId="0" xfId="0" applyFont="1" applyAlignment="1" applyProtection="1">
      <alignment horizontal="left" vertical="top"/>
      <protection locked="0"/>
    </xf>
    <xf numFmtId="0" fontId="19" fillId="6" borderId="0" xfId="0" applyFont="1" applyFill="1" applyAlignment="1" applyProtection="1">
      <alignment horizontal="right" vertical="center"/>
    </xf>
    <xf numFmtId="0" fontId="28" fillId="6" borderId="0" xfId="0" applyFont="1" applyFill="1" applyBorder="1" applyAlignment="1" applyProtection="1">
      <alignment horizontal="right" vertical="center" wrapText="1"/>
    </xf>
    <xf numFmtId="0" fontId="27" fillId="6" borderId="13" xfId="0" applyFont="1" applyFill="1" applyBorder="1" applyAlignment="1" applyProtection="1">
      <alignment horizontal="left" vertical="center" wrapText="1"/>
    </xf>
    <xf numFmtId="0" fontId="10" fillId="7" borderId="19" xfId="0" applyFont="1" applyFill="1" applyBorder="1" applyAlignment="1" applyProtection="1">
      <alignment horizontal="left" vertical="top" wrapText="1"/>
      <protection locked="0"/>
    </xf>
    <xf numFmtId="165" fontId="10" fillId="7" borderId="19" xfId="4" applyNumberFormat="1" applyFont="1" applyFill="1" applyBorder="1" applyAlignment="1" applyProtection="1">
      <alignment horizontal="left" vertical="top" wrapText="1"/>
      <protection locked="0"/>
    </xf>
    <xf numFmtId="0" fontId="28" fillId="13" borderId="25" xfId="0" applyFont="1" applyFill="1" applyBorder="1" applyAlignment="1" applyProtection="1">
      <alignment horizontal="center" wrapText="1"/>
    </xf>
    <xf numFmtId="0" fontId="19" fillId="6" borderId="0" xfId="0" applyFont="1" applyFill="1" applyAlignment="1" applyProtection="1">
      <alignment horizontal="right" vertical="center"/>
    </xf>
    <xf numFmtId="3" fontId="10" fillId="7" borderId="19" xfId="5" applyNumberFormat="1" applyFont="1" applyFill="1" applyBorder="1" applyAlignment="1" applyProtection="1">
      <alignment horizontal="center" vertical="top" wrapText="1"/>
      <protection locked="0"/>
    </xf>
    <xf numFmtId="9" fontId="10" fillId="7" borderId="19" xfId="5" applyFont="1" applyFill="1" applyBorder="1" applyAlignment="1" applyProtection="1">
      <alignment horizontal="left" vertical="top" wrapText="1"/>
      <protection locked="0"/>
    </xf>
    <xf numFmtId="3" fontId="10" fillId="7" borderId="19" xfId="5" applyNumberFormat="1" applyFont="1" applyFill="1" applyBorder="1" applyAlignment="1" applyProtection="1">
      <alignment horizontal="right" vertical="top" wrapText="1"/>
      <protection locked="0"/>
    </xf>
    <xf numFmtId="0" fontId="0" fillId="7" borderId="19" xfId="0" applyFill="1" applyBorder="1" applyAlignment="1" applyProtection="1">
      <alignment horizontal="left" vertical="top" wrapText="1"/>
      <protection locked="0"/>
    </xf>
    <xf numFmtId="1" fontId="10" fillId="7" borderId="19" xfId="5" applyNumberFormat="1" applyFont="1" applyFill="1" applyBorder="1" applyAlignment="1" applyProtection="1">
      <alignment horizontal="right" vertical="top" wrapText="1"/>
      <protection locked="0"/>
    </xf>
    <xf numFmtId="164" fontId="10" fillId="7" borderId="19" xfId="5" applyNumberFormat="1" applyFont="1" applyFill="1" applyBorder="1" applyAlignment="1" applyProtection="1">
      <alignment horizontal="right" vertical="top" wrapText="1"/>
      <protection locked="0"/>
    </xf>
    <xf numFmtId="171" fontId="10" fillId="7" borderId="19" xfId="4" applyNumberFormat="1" applyFont="1" applyFill="1" applyBorder="1" applyAlignment="1" applyProtection="1">
      <alignment horizontal="right" vertical="center" wrapText="1"/>
      <protection locked="0"/>
    </xf>
    <xf numFmtId="164" fontId="10" fillId="7" borderId="19" xfId="5" applyNumberFormat="1" applyFont="1" applyFill="1" applyBorder="1" applyAlignment="1" applyProtection="1">
      <alignment horizontal="right" vertical="center" wrapText="1"/>
      <protection locked="0"/>
    </xf>
    <xf numFmtId="165" fontId="10" fillId="7" borderId="19" xfId="4" applyNumberFormat="1" applyFont="1" applyFill="1" applyBorder="1" applyAlignment="1" applyProtection="1">
      <alignment horizontal="center" vertical="center" wrapText="1"/>
      <protection locked="0"/>
    </xf>
    <xf numFmtId="164" fontId="10" fillId="7" borderId="19" xfId="4" applyNumberFormat="1" applyFont="1" applyFill="1" applyBorder="1" applyAlignment="1" applyProtection="1">
      <alignment horizontal="center" vertical="top" wrapText="1"/>
      <protection locked="0"/>
    </xf>
    <xf numFmtId="0" fontId="29" fillId="6" borderId="12" xfId="0" applyFont="1" applyFill="1" applyBorder="1" applyAlignment="1" applyProtection="1">
      <alignment horizontal="center" vertical="top" wrapText="1"/>
    </xf>
    <xf numFmtId="0" fontId="29" fillId="6" borderId="13" xfId="0" applyFont="1" applyFill="1" applyBorder="1" applyAlignment="1" applyProtection="1">
      <alignment horizontal="center" vertical="top" wrapText="1"/>
    </xf>
    <xf numFmtId="0" fontId="20" fillId="6" borderId="11" xfId="0" applyFont="1" applyFill="1" applyBorder="1" applyAlignment="1" applyProtection="1">
      <alignment horizontal="center" vertical="center" wrapText="1"/>
    </xf>
    <xf numFmtId="0" fontId="27" fillId="6" borderId="25" xfId="0" applyFont="1" applyFill="1" applyBorder="1" applyAlignment="1" applyProtection="1">
      <alignment vertical="center" wrapText="1"/>
    </xf>
    <xf numFmtId="0" fontId="10" fillId="6" borderId="90" xfId="0" applyFont="1" applyFill="1" applyBorder="1" applyAlignment="1" applyProtection="1">
      <alignment horizontal="left" vertical="top" wrapText="1"/>
    </xf>
    <xf numFmtId="0" fontId="0" fillId="0" borderId="0" xfId="0" applyBorder="1" applyProtection="1">
      <protection locked="0"/>
    </xf>
    <xf numFmtId="0" fontId="52" fillId="0" borderId="0" xfId="0" applyFont="1" applyBorder="1" applyAlignment="1" applyProtection="1">
      <alignment horizontal="left" vertical="top"/>
      <protection locked="0"/>
    </xf>
    <xf numFmtId="0" fontId="20" fillId="6" borderId="87" xfId="0" applyFont="1" applyFill="1" applyBorder="1" applyAlignment="1" applyProtection="1">
      <alignment horizontal="center" vertical="center" wrapText="1"/>
    </xf>
    <xf numFmtId="0" fontId="20" fillId="6" borderId="91" xfId="0" applyFont="1" applyFill="1" applyBorder="1" applyAlignment="1" applyProtection="1">
      <alignment horizontal="center" vertical="center"/>
    </xf>
    <xf numFmtId="0" fontId="117" fillId="0" borderId="0" xfId="0" applyFont="1" applyAlignment="1" applyProtection="1">
      <alignment vertical="top"/>
      <protection locked="0"/>
    </xf>
    <xf numFmtId="0" fontId="64" fillId="0" borderId="0" xfId="0" applyFont="1" applyProtection="1">
      <protection locked="0"/>
    </xf>
    <xf numFmtId="0" fontId="10" fillId="8" borderId="19" xfId="0" applyFont="1" applyFill="1" applyBorder="1" applyAlignment="1" applyProtection="1">
      <alignment horizontal="left" vertical="top" wrapText="1"/>
      <protection locked="0"/>
    </xf>
    <xf numFmtId="0" fontId="51" fillId="0" borderId="0" xfId="7" applyAlignment="1" applyProtection="1">
      <alignment horizontal="left" vertical="top"/>
      <protection locked="0"/>
    </xf>
    <xf numFmtId="0" fontId="1" fillId="0" borderId="0" xfId="1" applyAlignment="1" applyProtection="1">
      <alignment horizontal="left"/>
      <protection locked="0"/>
    </xf>
    <xf numFmtId="0" fontId="1" fillId="0" borderId="0" xfId="1" applyAlignment="1" applyProtection="1">
      <alignment horizontal="left" vertical="top"/>
      <protection locked="0"/>
    </xf>
    <xf numFmtId="0" fontId="1" fillId="0" borderId="0" xfId="1" applyProtection="1">
      <protection locked="0"/>
    </xf>
    <xf numFmtId="0" fontId="0" fillId="0" borderId="0" xfId="0" applyAlignment="1" applyProtection="1">
      <alignment horizontal="left" vertical="top"/>
      <protection locked="0"/>
    </xf>
    <xf numFmtId="0" fontId="116" fillId="0" borderId="0" xfId="7" applyFont="1" applyAlignment="1" applyProtection="1">
      <alignment horizontal="left" vertical="top"/>
      <protection locked="0"/>
    </xf>
    <xf numFmtId="9" fontId="0" fillId="0" borderId="0" xfId="0" applyNumberFormat="1" applyProtection="1">
      <protection locked="0"/>
    </xf>
    <xf numFmtId="0" fontId="111" fillId="0" borderId="0" xfId="3" applyAlignment="1" applyProtection="1">
      <alignment horizontal="left" vertical="top"/>
      <protection locked="0"/>
    </xf>
    <xf numFmtId="0" fontId="111" fillId="0" borderId="0" xfId="3" applyProtection="1">
      <protection locked="0"/>
    </xf>
    <xf numFmtId="9" fontId="52" fillId="0" borderId="0" xfId="5" applyFont="1" applyAlignment="1" applyProtection="1">
      <alignment horizontal="left" vertical="top"/>
      <protection locked="0"/>
    </xf>
    <xf numFmtId="9" fontId="52" fillId="0" borderId="0" xfId="0" applyNumberFormat="1" applyFont="1" applyAlignment="1" applyProtection="1">
      <alignment horizontal="left" vertical="top"/>
      <protection locked="0"/>
    </xf>
    <xf numFmtId="0" fontId="0" fillId="0" borderId="0" xfId="4" applyNumberFormat="1" applyFont="1" applyProtection="1">
      <protection locked="0"/>
    </xf>
    <xf numFmtId="0" fontId="0" fillId="0" borderId="0" xfId="0" applyAlignment="1" applyProtection="1">
      <alignment wrapText="1"/>
      <protection locked="0"/>
    </xf>
    <xf numFmtId="168" fontId="0" fillId="0" borderId="0" xfId="4" applyNumberFormat="1" applyFont="1" applyProtection="1">
      <protection locked="0"/>
    </xf>
    <xf numFmtId="0" fontId="51" fillId="0" borderId="0" xfId="7" applyProtection="1">
      <protection locked="0"/>
    </xf>
    <xf numFmtId="0" fontId="13" fillId="0" borderId="0" xfId="0" applyFont="1" applyAlignment="1" applyProtection="1">
      <protection locked="0"/>
    </xf>
    <xf numFmtId="0" fontId="0" fillId="0" borderId="0" xfId="0" applyAlignment="1" applyProtection="1">
      <alignment horizontal="left"/>
      <protection locked="0"/>
    </xf>
    <xf numFmtId="165" fontId="10" fillId="18" borderId="19" xfId="4" applyNumberFormat="1" applyFont="1" applyFill="1" applyBorder="1" applyAlignment="1" applyProtection="1">
      <alignment horizontal="left" vertical="top"/>
      <protection locked="0"/>
    </xf>
    <xf numFmtId="165" fontId="10" fillId="18" borderId="19" xfId="4" applyNumberFormat="1" applyFont="1" applyFill="1" applyBorder="1" applyAlignment="1" applyProtection="1">
      <alignment horizontal="left" vertical="top" wrapText="1"/>
      <protection locked="0"/>
    </xf>
    <xf numFmtId="165" fontId="10" fillId="18" borderId="19" xfId="4" applyNumberFormat="1" applyFont="1" applyFill="1" applyBorder="1" applyAlignment="1" applyProtection="1">
      <alignment horizontal="right" vertical="top" wrapText="1"/>
      <protection locked="0"/>
    </xf>
    <xf numFmtId="3" fontId="10" fillId="7" borderId="23" xfId="5" applyNumberFormat="1" applyFont="1" applyFill="1" applyBorder="1" applyAlignment="1" applyProtection="1">
      <alignment vertical="top" wrapText="1"/>
      <protection locked="0"/>
    </xf>
    <xf numFmtId="3" fontId="10" fillId="7" borderId="19" xfId="4" applyNumberFormat="1" applyFont="1" applyFill="1" applyBorder="1" applyAlignment="1" applyProtection="1">
      <alignment horizontal="right" vertical="top" wrapText="1"/>
      <protection locked="0"/>
    </xf>
    <xf numFmtId="165" fontId="10" fillId="6" borderId="23" xfId="4" applyNumberFormat="1" applyFont="1" applyFill="1" applyBorder="1" applyAlignment="1" applyProtection="1">
      <alignment vertical="top" wrapText="1"/>
      <protection locked="0"/>
    </xf>
    <xf numFmtId="0" fontId="1" fillId="0" borderId="10" xfId="0" applyFont="1" applyBorder="1" applyAlignment="1" applyProtection="1">
      <alignment wrapText="1"/>
    </xf>
    <xf numFmtId="0" fontId="19" fillId="6" borderId="0" xfId="0" applyFont="1" applyFill="1" applyAlignment="1" applyProtection="1">
      <alignment horizontal="right" vertical="center"/>
    </xf>
    <xf numFmtId="0" fontId="19" fillId="6" borderId="0" xfId="0" applyFont="1" applyFill="1" applyAlignment="1" applyProtection="1">
      <alignment horizontal="right" vertical="center" wrapText="1"/>
    </xf>
    <xf numFmtId="165" fontId="10" fillId="6" borderId="19" xfId="4" applyNumberFormat="1" applyFont="1" applyFill="1" applyBorder="1" applyAlignment="1" applyProtection="1">
      <alignment horizontal="left" vertical="center" wrapText="1"/>
    </xf>
    <xf numFmtId="0" fontId="10" fillId="7" borderId="19" xfId="0" applyFont="1" applyFill="1" applyBorder="1" applyAlignment="1" applyProtection="1">
      <alignment horizontal="left" vertical="top" wrapText="1"/>
      <protection locked="0"/>
    </xf>
    <xf numFmtId="0" fontId="19" fillId="6" borderId="0" xfId="0" applyFont="1" applyFill="1" applyBorder="1" applyAlignment="1" applyProtection="1">
      <alignment horizontal="left" vertical="center" wrapText="1"/>
    </xf>
    <xf numFmtId="0" fontId="27" fillId="6" borderId="0" xfId="0" applyFont="1" applyFill="1" applyBorder="1" applyAlignment="1" applyProtection="1">
      <alignment horizontal="left" vertical="center" wrapText="1"/>
    </xf>
    <xf numFmtId="0" fontId="29" fillId="6" borderId="0" xfId="0" applyFont="1" applyFill="1" applyBorder="1" applyAlignment="1" applyProtection="1">
      <alignment horizontal="center" vertical="top" wrapText="1"/>
    </xf>
    <xf numFmtId="0" fontId="29" fillId="6" borderId="0" xfId="0" applyFont="1" applyFill="1" applyBorder="1" applyAlignment="1" applyProtection="1">
      <alignment horizontal="center" wrapText="1"/>
    </xf>
    <xf numFmtId="0" fontId="19" fillId="6" borderId="0" xfId="0" applyFont="1" applyFill="1" applyBorder="1" applyAlignment="1" applyProtection="1">
      <alignment horizontal="left" vertical="center"/>
    </xf>
    <xf numFmtId="0" fontId="29" fillId="6" borderId="0" xfId="0" applyFont="1" applyFill="1" applyBorder="1" applyAlignment="1" applyProtection="1">
      <alignment horizontal="center" vertical="top"/>
    </xf>
    <xf numFmtId="0" fontId="118" fillId="0" borderId="0" xfId="0" applyFont="1"/>
    <xf numFmtId="0" fontId="28" fillId="13" borderId="30" xfId="0" applyFont="1" applyFill="1" applyBorder="1" applyAlignment="1" applyProtection="1">
      <alignment horizontal="left" vertical="center" wrapText="1"/>
    </xf>
    <xf numFmtId="0" fontId="20" fillId="6" borderId="0" xfId="0" applyFont="1" applyFill="1" applyBorder="1" applyAlignment="1" applyProtection="1">
      <alignment horizontal="left" vertical="center" wrapText="1"/>
    </xf>
    <xf numFmtId="0" fontId="0" fillId="21" borderId="0" xfId="0" applyFont="1" applyFill="1" applyProtection="1"/>
    <xf numFmtId="0" fontId="27" fillId="6" borderId="17" xfId="0" applyFont="1" applyFill="1" applyBorder="1" applyAlignment="1" applyProtection="1">
      <alignment horizontal="left" vertical="center" wrapText="1"/>
    </xf>
    <xf numFmtId="0" fontId="19" fillId="6" borderId="91" xfId="0" applyFont="1" applyFill="1" applyBorder="1" applyAlignment="1" applyProtection="1">
      <alignment horizontal="right"/>
    </xf>
    <xf numFmtId="0" fontId="19" fillId="6" borderId="90" xfId="0" applyFont="1" applyFill="1" applyBorder="1" applyAlignment="1" applyProtection="1">
      <alignment horizontal="right"/>
    </xf>
    <xf numFmtId="0" fontId="19" fillId="6" borderId="0" xfId="0" applyFont="1" applyFill="1" applyAlignment="1" applyProtection="1">
      <alignment horizontal="right" vertical="center"/>
    </xf>
    <xf numFmtId="0" fontId="10" fillId="7" borderId="19" xfId="0" applyFont="1" applyFill="1" applyBorder="1" applyAlignment="1" applyProtection="1">
      <alignment horizontal="left" vertical="top" wrapText="1"/>
      <protection locked="0"/>
    </xf>
    <xf numFmtId="0" fontId="29" fillId="6" borderId="15" xfId="0" applyFont="1" applyFill="1" applyBorder="1" applyAlignment="1" applyProtection="1">
      <alignment horizontal="center" vertical="top" wrapText="1"/>
    </xf>
    <xf numFmtId="0" fontId="19" fillId="6" borderId="0" xfId="0" applyFont="1" applyFill="1" applyAlignment="1" applyProtection="1">
      <alignment horizontal="right" vertical="center"/>
    </xf>
    <xf numFmtId="0" fontId="19" fillId="6" borderId="0" xfId="0" applyFont="1" applyFill="1" applyAlignment="1" applyProtection="1">
      <alignment horizontal="right" vertical="center" wrapText="1"/>
    </xf>
    <xf numFmtId="0" fontId="29" fillId="6" borderId="0" xfId="0" applyFont="1" applyFill="1" applyAlignment="1" applyProtection="1">
      <alignment horizontal="center" vertical="top" wrapText="1"/>
    </xf>
    <xf numFmtId="0" fontId="19" fillId="6" borderId="0" xfId="0" applyFont="1" applyFill="1" applyAlignment="1" applyProtection="1">
      <alignment horizontal="left" vertical="center" wrapText="1"/>
    </xf>
    <xf numFmtId="0" fontId="20" fillId="6" borderId="11" xfId="0" applyFont="1" applyFill="1" applyBorder="1" applyAlignment="1" applyProtection="1">
      <alignment horizontal="center" vertical="center" wrapText="1"/>
    </xf>
    <xf numFmtId="0" fontId="19" fillId="6" borderId="0" xfId="0" applyFont="1" applyFill="1" applyAlignment="1" applyProtection="1">
      <alignment horizontal="center" vertical="center"/>
    </xf>
    <xf numFmtId="3" fontId="10" fillId="6" borderId="19" xfId="5" applyNumberFormat="1" applyFont="1" applyFill="1" applyBorder="1" applyAlignment="1" applyProtection="1">
      <alignment horizontal="center" vertical="top" wrapText="1"/>
      <protection locked="0"/>
    </xf>
    <xf numFmtId="9" fontId="10" fillId="7" borderId="19" xfId="5" applyFont="1" applyFill="1" applyBorder="1" applyAlignment="1" applyProtection="1">
      <alignment horizontal="center" vertical="center" wrapText="1"/>
      <protection locked="0"/>
    </xf>
    <xf numFmtId="0" fontId="26" fillId="6" borderId="21" xfId="0" applyFont="1" applyFill="1" applyBorder="1" applyAlignment="1" applyProtection="1">
      <alignment vertical="center"/>
    </xf>
    <xf numFmtId="0" fontId="26" fillId="6" borderId="0" xfId="0" applyFont="1" applyFill="1" applyBorder="1" applyAlignment="1" applyProtection="1">
      <alignment vertical="center"/>
    </xf>
    <xf numFmtId="166" fontId="57" fillId="9" borderId="19" xfId="4" applyNumberFormat="1" applyFont="1" applyFill="1" applyBorder="1" applyAlignment="1" applyProtection="1">
      <alignment horizontal="left" vertical="top" wrapText="1"/>
    </xf>
    <xf numFmtId="0" fontId="100" fillId="6" borderId="0" xfId="0" applyFont="1" applyFill="1" applyAlignment="1" applyProtection="1">
      <alignment horizontal="right" vertical="center"/>
    </xf>
    <xf numFmtId="164" fontId="10" fillId="18" borderId="19" xfId="4" applyNumberFormat="1" applyFont="1" applyFill="1" applyBorder="1" applyAlignment="1" applyProtection="1">
      <alignment horizontal="center" vertical="top" wrapText="1"/>
      <protection locked="0"/>
    </xf>
    <xf numFmtId="0" fontId="0" fillId="3" borderId="82" xfId="0" applyFont="1" applyFill="1" applyBorder="1" applyAlignment="1">
      <alignment wrapText="1"/>
    </xf>
    <xf numFmtId="0" fontId="70" fillId="6" borderId="92" xfId="0" applyFont="1" applyFill="1" applyBorder="1" applyAlignment="1" applyProtection="1">
      <alignment vertical="top" wrapText="1"/>
      <protection locked="0"/>
    </xf>
    <xf numFmtId="0" fontId="70" fillId="6" borderId="92" xfId="0" applyFont="1" applyFill="1" applyBorder="1" applyAlignment="1" applyProtection="1">
      <alignment horizontal="left" vertical="top" wrapText="1"/>
      <protection locked="0"/>
    </xf>
    <xf numFmtId="165" fontId="70" fillId="6" borderId="92" xfId="4" applyNumberFormat="1" applyFont="1" applyFill="1" applyBorder="1" applyAlignment="1" applyProtection="1">
      <alignment horizontal="left" vertical="top" wrapText="1"/>
      <protection locked="0"/>
    </xf>
    <xf numFmtId="165" fontId="70" fillId="6" borderId="92" xfId="4" applyNumberFormat="1" applyFont="1" applyFill="1" applyBorder="1" applyAlignment="1" applyProtection="1">
      <alignment horizontal="left" vertical="top" wrapText="1"/>
    </xf>
    <xf numFmtId="0" fontId="28" fillId="13" borderId="78" xfId="0" applyFont="1" applyFill="1" applyBorder="1" applyAlignment="1" applyProtection="1">
      <alignment horizontal="left" wrapText="1"/>
    </xf>
    <xf numFmtId="9" fontId="10" fillId="6" borderId="92" xfId="5" applyFont="1" applyFill="1" applyBorder="1" applyAlignment="1" applyProtection="1">
      <alignment horizontal="center" vertical="top" wrapText="1"/>
    </xf>
    <xf numFmtId="165" fontId="10" fillId="6" borderId="92" xfId="4" applyNumberFormat="1" applyFont="1" applyFill="1" applyBorder="1" applyAlignment="1" applyProtection="1">
      <alignment horizontal="center" vertical="top" wrapText="1"/>
    </xf>
    <xf numFmtId="0" fontId="19" fillId="6" borderId="0" xfId="0" applyFont="1" applyFill="1" applyAlignment="1" applyProtection="1">
      <alignment horizontal="right" vertical="center"/>
    </xf>
    <xf numFmtId="0" fontId="28" fillId="6" borderId="0" xfId="0" applyFont="1" applyFill="1" applyBorder="1" applyAlignment="1" applyProtection="1">
      <alignment horizontal="right" vertical="center" wrapText="1"/>
    </xf>
    <xf numFmtId="0" fontId="29" fillId="6" borderId="0" xfId="0" applyFont="1" applyFill="1" applyBorder="1" applyAlignment="1" applyProtection="1">
      <alignment horizontal="center" vertical="top" wrapText="1"/>
    </xf>
    <xf numFmtId="0" fontId="19" fillId="6" borderId="0" xfId="0" applyFont="1" applyFill="1" applyAlignment="1" applyProtection="1">
      <alignment horizontal="right" vertical="center"/>
    </xf>
    <xf numFmtId="0" fontId="0" fillId="7" borderId="0" xfId="0" applyFill="1" applyAlignment="1" applyProtection="1">
      <alignment horizontal="left"/>
    </xf>
    <xf numFmtId="0" fontId="0" fillId="6" borderId="14" xfId="0" applyFill="1" applyBorder="1" applyAlignment="1" applyProtection="1">
      <alignment horizontal="left" vertical="center"/>
    </xf>
    <xf numFmtId="0" fontId="0" fillId="6" borderId="0" xfId="0" applyFill="1" applyAlignment="1" applyProtection="1">
      <alignment horizontal="left" vertical="center" wrapText="1"/>
    </xf>
    <xf numFmtId="0" fontId="123" fillId="6" borderId="0" xfId="0" applyFont="1" applyFill="1" applyAlignment="1" applyProtection="1">
      <alignment horizontal="left" vertical="center" wrapText="1"/>
    </xf>
    <xf numFmtId="165" fontId="0" fillId="0" borderId="0" xfId="0" applyNumberFormat="1" applyAlignment="1" applyProtection="1">
      <alignment horizontal="left"/>
      <protection locked="0"/>
    </xf>
    <xf numFmtId="0" fontId="29" fillId="6" borderId="0" xfId="0" applyFont="1" applyFill="1" applyAlignment="1" applyProtection="1">
      <alignment horizontal="right" vertical="top"/>
    </xf>
    <xf numFmtId="165" fontId="10" fillId="6" borderId="19" xfId="4" applyNumberFormat="1" applyFont="1" applyFill="1" applyBorder="1" applyAlignment="1" applyProtection="1">
      <alignment horizontal="left" vertical="top" wrapText="1"/>
    </xf>
    <xf numFmtId="165" fontId="10" fillId="8" borderId="19" xfId="4" applyNumberFormat="1" applyFont="1" applyFill="1" applyBorder="1" applyAlignment="1" applyProtection="1">
      <alignment horizontal="left" vertical="top" wrapText="1"/>
      <protection locked="0"/>
    </xf>
    <xf numFmtId="0" fontId="27" fillId="6" borderId="0" xfId="0" applyFont="1" applyFill="1" applyBorder="1" applyAlignment="1" applyProtection="1">
      <alignment horizontal="left" vertical="center" wrapText="1"/>
    </xf>
    <xf numFmtId="0" fontId="29" fillId="6" borderId="0" xfId="0" applyFont="1" applyFill="1" applyBorder="1" applyAlignment="1" applyProtection="1">
      <alignment horizontal="center" vertical="top" wrapText="1"/>
    </xf>
    <xf numFmtId="0" fontId="29" fillId="6" borderId="11" xfId="0" applyFont="1" applyFill="1" applyBorder="1" applyAlignment="1" applyProtection="1">
      <alignment horizontal="center" vertical="top" wrapText="1"/>
    </xf>
    <xf numFmtId="0" fontId="19" fillId="6" borderId="0" xfId="0" applyFont="1" applyFill="1" applyAlignment="1" applyProtection="1">
      <alignment horizontal="right" vertical="center" wrapText="1"/>
    </xf>
    <xf numFmtId="0" fontId="29" fillId="6" borderId="0" xfId="0" applyFont="1" applyFill="1" applyAlignment="1" applyProtection="1">
      <alignment horizontal="center" vertical="top" wrapText="1"/>
    </xf>
    <xf numFmtId="0" fontId="28" fillId="13" borderId="0" xfId="0" applyFont="1" applyFill="1" applyBorder="1" applyAlignment="1" applyProtection="1">
      <alignment horizontal="center" vertical="center" wrapText="1"/>
    </xf>
    <xf numFmtId="0" fontId="20" fillId="6" borderId="11" xfId="0" applyFont="1" applyFill="1" applyBorder="1" applyAlignment="1" applyProtection="1">
      <alignment horizontal="center" vertical="center" wrapText="1"/>
    </xf>
    <xf numFmtId="172" fontId="14" fillId="6" borderId="19" xfId="5" applyNumberFormat="1" applyFont="1" applyFill="1" applyBorder="1" applyAlignment="1" applyProtection="1">
      <alignment horizontal="right" vertical="top" wrapText="1"/>
    </xf>
    <xf numFmtId="9" fontId="0" fillId="0" borderId="61" xfId="5" applyFont="1" applyBorder="1" applyAlignment="1" applyProtection="1">
      <alignment horizontal="right"/>
    </xf>
    <xf numFmtId="164" fontId="10" fillId="6" borderId="20" xfId="4" applyNumberFormat="1" applyFont="1" applyFill="1" applyBorder="1" applyAlignment="1" applyProtection="1">
      <alignment vertical="center" wrapText="1"/>
    </xf>
    <xf numFmtId="0" fontId="19" fillId="6" borderId="0" xfId="0" applyFont="1" applyFill="1" applyAlignment="1" applyProtection="1">
      <alignment vertical="center" wrapText="1"/>
    </xf>
    <xf numFmtId="0" fontId="19" fillId="6" borderId="0" xfId="0" applyFont="1" applyFill="1" applyAlignment="1" applyProtection="1">
      <alignment horizontal="left" vertical="center" wrapText="1"/>
    </xf>
    <xf numFmtId="166" fontId="14" fillId="6" borderId="0" xfId="4" applyNumberFormat="1" applyFont="1" applyFill="1" applyBorder="1" applyAlignment="1" applyProtection="1">
      <alignment horizontal="left" vertical="top" wrapText="1"/>
    </xf>
    <xf numFmtId="9" fontId="96" fillId="6" borderId="23" xfId="5" applyFont="1" applyFill="1" applyBorder="1" applyAlignment="1" applyProtection="1">
      <alignment vertical="center" wrapText="1"/>
    </xf>
    <xf numFmtId="2" fontId="96" fillId="6" borderId="23" xfId="4" applyNumberFormat="1" applyFont="1" applyFill="1" applyBorder="1" applyAlignment="1" applyProtection="1">
      <alignment vertical="center" wrapText="1"/>
    </xf>
    <xf numFmtId="43" fontId="96" fillId="6" borderId="19" xfId="4" applyNumberFormat="1" applyFont="1" applyFill="1" applyBorder="1" applyAlignment="1" applyProtection="1">
      <alignment horizontal="left" vertical="top" wrapText="1"/>
    </xf>
    <xf numFmtId="172" fontId="96" fillId="6" borderId="19" xfId="5" applyNumberFormat="1" applyFont="1" applyFill="1" applyBorder="1" applyAlignment="1" applyProtection="1">
      <alignment horizontal="right" vertical="top" wrapText="1"/>
    </xf>
    <xf numFmtId="0" fontId="48" fillId="6" borderId="0" xfId="0" applyFont="1" applyFill="1" applyBorder="1" applyAlignment="1" applyProtection="1">
      <alignment horizontal="right" vertical="center" wrapText="1"/>
    </xf>
    <xf numFmtId="0" fontId="124" fillId="6" borderId="0" xfId="0" applyFont="1" applyFill="1" applyBorder="1" applyAlignment="1" applyProtection="1">
      <alignment horizontal="right" vertical="center"/>
    </xf>
    <xf numFmtId="0" fontId="124" fillId="6" borderId="0" xfId="0" applyFont="1" applyFill="1" applyBorder="1" applyAlignment="1" applyProtection="1">
      <alignment vertical="center" wrapText="1"/>
    </xf>
    <xf numFmtId="3" fontId="96" fillId="6" borderId="23" xfId="4" applyNumberFormat="1" applyFont="1" applyFill="1" applyBorder="1" applyAlignment="1" applyProtection="1">
      <alignment vertical="center" wrapText="1"/>
    </xf>
    <xf numFmtId="165" fontId="96" fillId="9" borderId="19" xfId="4" applyNumberFormat="1" applyFont="1" applyFill="1" applyBorder="1" applyAlignment="1" applyProtection="1">
      <alignment horizontal="left" vertical="top" wrapText="1"/>
    </xf>
    <xf numFmtId="43" fontId="96" fillId="9" borderId="19" xfId="4" applyNumberFormat="1" applyFont="1" applyFill="1" applyBorder="1" applyAlignment="1" applyProtection="1">
      <alignment horizontal="left" vertical="top" wrapText="1"/>
    </xf>
    <xf numFmtId="43" fontId="96" fillId="6" borderId="19" xfId="4" applyNumberFormat="1" applyFont="1" applyFill="1" applyBorder="1" applyAlignment="1" applyProtection="1">
      <alignment horizontal="left" vertical="top" wrapText="1" indent="2"/>
    </xf>
    <xf numFmtId="0" fontId="129" fillId="6" borderId="0" xfId="0" applyFont="1" applyFill="1" applyBorder="1" applyAlignment="1" applyProtection="1">
      <alignment horizontal="right" vertical="top" wrapText="1"/>
    </xf>
    <xf numFmtId="0" fontId="27" fillId="6" borderId="0" xfId="0" applyFont="1" applyFill="1" applyBorder="1" applyAlignment="1" applyProtection="1">
      <alignment vertical="center" wrapText="1"/>
    </xf>
    <xf numFmtId="165" fontId="0" fillId="0" borderId="65" xfId="4" applyNumberFormat="1" applyFont="1" applyBorder="1" applyProtection="1"/>
    <xf numFmtId="0" fontId="28" fillId="13" borderId="76" xfId="0" applyFont="1" applyFill="1" applyBorder="1" applyAlignment="1" applyProtection="1">
      <alignment horizontal="center" wrapText="1"/>
    </xf>
    <xf numFmtId="9" fontId="96" fillId="6" borderId="23" xfId="5" applyFont="1" applyFill="1" applyBorder="1" applyAlignment="1" applyProtection="1">
      <alignment horizontal="right" vertical="center" wrapText="1"/>
    </xf>
    <xf numFmtId="2" fontId="96" fillId="6" borderId="23" xfId="4" applyNumberFormat="1" applyFont="1" applyFill="1" applyBorder="1" applyAlignment="1" applyProtection="1">
      <alignment horizontal="right" vertical="center" wrapText="1"/>
    </xf>
    <xf numFmtId="3" fontId="96" fillId="6" borderId="23" xfId="4" applyNumberFormat="1" applyFont="1" applyFill="1" applyBorder="1" applyAlignment="1" applyProtection="1">
      <alignment horizontal="right" vertical="center" wrapText="1"/>
    </xf>
    <xf numFmtId="0" fontId="10" fillId="8" borderId="92" xfId="0" applyFont="1" applyFill="1" applyBorder="1" applyAlignment="1" applyProtection="1">
      <alignment horizontal="left" vertical="center" wrapText="1"/>
      <protection locked="0"/>
    </xf>
    <xf numFmtId="0" fontId="110" fillId="6" borderId="0" xfId="0" applyFont="1" applyFill="1" applyAlignment="1" applyProtection="1">
      <alignment horizontal="left" vertical="center" wrapText="1"/>
    </xf>
    <xf numFmtId="165" fontId="130" fillId="6" borderId="0" xfId="4" applyNumberFormat="1" applyFont="1" applyFill="1" applyBorder="1" applyAlignment="1" applyProtection="1">
      <alignment horizontal="left" vertical="top"/>
    </xf>
    <xf numFmtId="0" fontId="70" fillId="6" borderId="15" xfId="0" applyFont="1" applyFill="1" applyBorder="1" applyAlignment="1" applyProtection="1">
      <alignment horizontal="left" vertical="top" wrapText="1"/>
    </xf>
    <xf numFmtId="3" fontId="10" fillId="6" borderId="19" xfId="5" applyNumberFormat="1" applyFont="1" applyFill="1" applyBorder="1" applyAlignment="1" applyProtection="1">
      <alignment horizontal="left" vertical="top" wrapText="1"/>
      <protection locked="0"/>
    </xf>
    <xf numFmtId="3" fontId="10" fillId="18" borderId="19" xfId="5" applyNumberFormat="1" applyFont="1" applyFill="1" applyBorder="1" applyAlignment="1" applyProtection="1">
      <alignment horizontal="right" vertical="top" wrapText="1"/>
      <protection locked="0"/>
    </xf>
    <xf numFmtId="164" fontId="10" fillId="18" borderId="19" xfId="5" applyNumberFormat="1" applyFont="1" applyFill="1" applyBorder="1" applyAlignment="1" applyProtection="1">
      <alignment horizontal="left" vertical="top" wrapText="1"/>
      <protection locked="0"/>
    </xf>
    <xf numFmtId="3" fontId="10" fillId="18" borderId="19" xfId="5" applyNumberFormat="1" applyFont="1" applyFill="1" applyBorder="1" applyAlignment="1" applyProtection="1">
      <alignment horizontal="left" vertical="top" wrapText="1"/>
      <protection locked="0"/>
    </xf>
    <xf numFmtId="0" fontId="64" fillId="0" borderId="76" xfId="0" applyFont="1" applyBorder="1" applyAlignment="1" applyProtection="1">
      <alignment horizontal="left" vertical="center"/>
      <protection locked="0"/>
    </xf>
    <xf numFmtId="0" fontId="64" fillId="0" borderId="0" xfId="0" applyFont="1" applyAlignment="1" applyProtection="1">
      <alignment horizontal="left" vertical="top"/>
    </xf>
    <xf numFmtId="0" fontId="28" fillId="6" borderId="0" xfId="0" applyFont="1" applyFill="1" applyBorder="1" applyAlignment="1" applyProtection="1">
      <alignment horizontal="right" vertical="center" wrapText="1"/>
    </xf>
    <xf numFmtId="0" fontId="29" fillId="6" borderId="0" xfId="0" applyFont="1" applyFill="1" applyBorder="1" applyAlignment="1" applyProtection="1">
      <alignment horizontal="center" vertical="top" wrapText="1"/>
    </xf>
    <xf numFmtId="0" fontId="19" fillId="6" borderId="0" xfId="0" applyFont="1" applyFill="1" applyAlignment="1" applyProtection="1">
      <alignment horizontal="right" vertical="center" wrapText="1"/>
    </xf>
    <xf numFmtId="0" fontId="29" fillId="6" borderId="0" xfId="0" applyFont="1" applyFill="1" applyAlignment="1" applyProtection="1">
      <alignment horizontal="center" vertical="top" wrapText="1"/>
    </xf>
    <xf numFmtId="0" fontId="20" fillId="6" borderId="11" xfId="0" applyFont="1" applyFill="1" applyBorder="1" applyAlignment="1" applyProtection="1">
      <alignment horizontal="center" vertical="center" wrapText="1"/>
    </xf>
    <xf numFmtId="0" fontId="29" fillId="6" borderId="0" xfId="0" applyFont="1" applyFill="1" applyBorder="1" applyAlignment="1" applyProtection="1">
      <alignment horizontal="center" vertical="top" wrapText="1"/>
    </xf>
    <xf numFmtId="0" fontId="29" fillId="6" borderId="15" xfId="0" applyFont="1" applyFill="1" applyBorder="1" applyAlignment="1" applyProtection="1">
      <alignment horizontal="center" vertical="top" wrapText="1"/>
    </xf>
    <xf numFmtId="0" fontId="19" fillId="6" borderId="0" xfId="0" applyFont="1" applyFill="1" applyBorder="1" applyAlignment="1" applyProtection="1">
      <alignment horizontal="right" vertical="center" wrapText="1"/>
    </xf>
    <xf numFmtId="0" fontId="19" fillId="6" borderId="0" xfId="0" applyFont="1" applyFill="1" applyAlignment="1" applyProtection="1">
      <alignment horizontal="right" vertical="center"/>
    </xf>
    <xf numFmtId="0" fontId="20" fillId="6" borderId="11" xfId="0" applyFont="1" applyFill="1" applyBorder="1" applyAlignment="1" applyProtection="1">
      <alignment horizontal="center" vertical="center" wrapText="1"/>
    </xf>
    <xf numFmtId="0" fontId="28" fillId="6" borderId="17" xfId="0" applyFont="1" applyFill="1" applyBorder="1" applyAlignment="1" applyProtection="1">
      <alignment horizontal="right" vertical="center" wrapText="1"/>
    </xf>
    <xf numFmtId="9" fontId="14" fillId="6" borderId="97" xfId="5" applyFont="1" applyFill="1" applyBorder="1" applyAlignment="1" applyProtection="1">
      <alignment vertical="center" wrapText="1"/>
    </xf>
    <xf numFmtId="1" fontId="14" fillId="6" borderId="97" xfId="4" applyNumberFormat="1" applyFont="1" applyFill="1" applyBorder="1" applyAlignment="1" applyProtection="1">
      <alignment vertical="center" wrapText="1"/>
    </xf>
    <xf numFmtId="0" fontId="27" fillId="6" borderId="0" xfId="0" applyFont="1" applyFill="1" applyBorder="1" applyAlignment="1" applyProtection="1">
      <alignment horizontal="left"/>
    </xf>
    <xf numFmtId="9" fontId="0" fillId="0" borderId="0" xfId="5" applyFont="1" applyProtection="1">
      <protection locked="0"/>
    </xf>
    <xf numFmtId="165" fontId="10" fillId="7" borderId="19" xfId="4" applyNumberFormat="1" applyFont="1" applyFill="1" applyBorder="1" applyAlignment="1" applyProtection="1">
      <alignment horizontal="left" vertical="top" wrapText="1"/>
      <protection locked="0"/>
    </xf>
    <xf numFmtId="165" fontId="10" fillId="6" borderId="19" xfId="4" applyNumberFormat="1" applyFont="1" applyFill="1" applyBorder="1" applyAlignment="1" applyProtection="1">
      <alignment horizontal="left" vertical="top" wrapText="1"/>
    </xf>
    <xf numFmtId="0" fontId="19" fillId="6" borderId="0" xfId="0" applyFont="1" applyFill="1" applyBorder="1" applyAlignment="1" applyProtection="1">
      <alignment horizontal="left" vertical="center" wrapText="1"/>
    </xf>
    <xf numFmtId="0" fontId="29" fillId="6" borderId="0" xfId="0" applyFont="1" applyFill="1" applyBorder="1" applyAlignment="1" applyProtection="1">
      <alignment horizontal="center" vertical="top" wrapText="1"/>
    </xf>
    <xf numFmtId="0" fontId="29" fillId="6" borderId="15" xfId="0" applyFont="1" applyFill="1" applyBorder="1" applyAlignment="1" applyProtection="1">
      <alignment horizontal="center" vertical="top" wrapText="1"/>
    </xf>
    <xf numFmtId="0" fontId="19" fillId="6" borderId="0" xfId="0" applyFont="1" applyFill="1" applyAlignment="1" applyProtection="1">
      <alignment horizontal="right" vertical="center"/>
    </xf>
    <xf numFmtId="0" fontId="29" fillId="6" borderId="0" xfId="0" applyFont="1" applyFill="1" applyAlignment="1" applyProtection="1">
      <alignment horizontal="center" vertical="top" wrapText="1"/>
    </xf>
    <xf numFmtId="0" fontId="19" fillId="6" borderId="0" xfId="0" applyFont="1" applyFill="1" applyAlignment="1" applyProtection="1">
      <alignment horizontal="left" vertical="center" wrapText="1"/>
    </xf>
    <xf numFmtId="0" fontId="28" fillId="13" borderId="25" xfId="0" applyFont="1" applyFill="1" applyBorder="1" applyAlignment="1" applyProtection="1">
      <alignment horizontal="center" wrapText="1"/>
    </xf>
    <xf numFmtId="0" fontId="20" fillId="6" borderId="11" xfId="0" applyFont="1" applyFill="1" applyBorder="1" applyAlignment="1" applyProtection="1">
      <alignment horizontal="center" vertical="center" wrapText="1"/>
    </xf>
    <xf numFmtId="0" fontId="28" fillId="13" borderId="25" xfId="0" applyFont="1" applyFill="1" applyBorder="1" applyAlignment="1" applyProtection="1">
      <alignment horizontal="left" wrapText="1"/>
    </xf>
    <xf numFmtId="0" fontId="19" fillId="6" borderId="76" xfId="0" applyFont="1" applyFill="1" applyBorder="1" applyAlignment="1" applyProtection="1">
      <alignment horizontal="left" vertical="center"/>
    </xf>
    <xf numFmtId="0" fontId="19" fillId="6" borderId="0" xfId="0" applyFont="1" applyFill="1" applyBorder="1" applyAlignment="1" applyProtection="1">
      <alignment horizontal="left" vertical="center"/>
    </xf>
    <xf numFmtId="165" fontId="10" fillId="6" borderId="19" xfId="4" applyNumberFormat="1" applyFont="1" applyFill="1" applyBorder="1" applyAlignment="1" applyProtection="1">
      <alignment horizontal="left" vertical="top" wrapText="1"/>
    </xf>
    <xf numFmtId="0" fontId="29" fillId="6" borderId="0" xfId="0" applyFont="1" applyFill="1" applyBorder="1" applyAlignment="1" applyProtection="1">
      <alignment horizontal="center" vertical="top" wrapText="1"/>
    </xf>
    <xf numFmtId="0" fontId="29" fillId="6" borderId="15" xfId="0" applyFont="1" applyFill="1" applyBorder="1" applyAlignment="1" applyProtection="1">
      <alignment horizontal="center" vertical="top" wrapText="1"/>
    </xf>
    <xf numFmtId="0" fontId="19" fillId="6" borderId="0" xfId="0" applyFont="1" applyFill="1" applyBorder="1" applyAlignment="1" applyProtection="1">
      <alignment horizontal="left" vertical="center" wrapText="1"/>
    </xf>
    <xf numFmtId="0" fontId="19" fillId="6" borderId="0" xfId="0" applyFont="1" applyFill="1" applyAlignment="1" applyProtection="1">
      <alignment horizontal="right" vertical="center"/>
    </xf>
    <xf numFmtId="0" fontId="0" fillId="0" borderId="0" xfId="0" applyAlignment="1" applyProtection="1">
      <alignment horizontal="left" vertical="top" wrapText="1"/>
      <protection locked="0"/>
    </xf>
    <xf numFmtId="0" fontId="124" fillId="13" borderId="25" xfId="0" applyFont="1" applyFill="1" applyBorder="1" applyAlignment="1" applyProtection="1">
      <alignment horizontal="left" wrapText="1"/>
    </xf>
    <xf numFmtId="0" fontId="0" fillId="3" borderId="80" xfId="0" applyFont="1" applyFill="1" applyBorder="1" applyAlignment="1" applyProtection="1"/>
    <xf numFmtId="9" fontId="10" fillId="6" borderId="19" xfId="5" applyFont="1" applyFill="1" applyBorder="1" applyAlignment="1" applyProtection="1">
      <alignment horizontal="right" vertical="top" wrapText="1"/>
    </xf>
    <xf numFmtId="9" fontId="10" fillId="6" borderId="23" xfId="5" applyFont="1" applyFill="1" applyBorder="1" applyAlignment="1" applyProtection="1">
      <alignment vertical="top" wrapText="1"/>
    </xf>
    <xf numFmtId="9" fontId="10" fillId="6" borderId="99" xfId="5" applyFont="1" applyFill="1" applyBorder="1" applyAlignment="1" applyProtection="1">
      <alignment vertical="top" wrapText="1"/>
    </xf>
    <xf numFmtId="0" fontId="19" fillId="6" borderId="0" xfId="0" applyFont="1" applyFill="1" applyBorder="1" applyAlignment="1" applyProtection="1">
      <alignment vertical="center" wrapText="1"/>
    </xf>
    <xf numFmtId="0" fontId="2" fillId="6" borderId="0" xfId="1" applyFont="1" applyFill="1" applyAlignment="1" applyProtection="1">
      <alignment horizontal="left" vertical="center"/>
    </xf>
    <xf numFmtId="0" fontId="12" fillId="4" borderId="98" xfId="0" applyFont="1" applyFill="1" applyBorder="1" applyAlignment="1">
      <alignment wrapText="1"/>
    </xf>
    <xf numFmtId="0" fontId="1" fillId="3" borderId="98" xfId="0" applyFont="1" applyFill="1" applyBorder="1"/>
    <xf numFmtId="0" fontId="1" fillId="0" borderId="98" xfId="0" applyFont="1" applyBorder="1"/>
    <xf numFmtId="0" fontId="89" fillId="6" borderId="15" xfId="0" applyFont="1" applyFill="1" applyBorder="1" applyAlignment="1" applyProtection="1">
      <alignment horizontal="center" vertical="top" wrapText="1"/>
    </xf>
    <xf numFmtId="3" fontId="10" fillId="6" borderId="0" xfId="5" applyNumberFormat="1" applyFont="1" applyFill="1" applyBorder="1" applyAlignment="1" applyProtection="1">
      <alignment horizontal="center" vertical="top" wrapText="1"/>
    </xf>
    <xf numFmtId="0" fontId="0" fillId="7" borderId="0" xfId="0" applyFill="1"/>
    <xf numFmtId="0" fontId="0" fillId="0" borderId="0" xfId="0" applyAlignment="1" applyProtection="1">
      <alignment vertical="top" wrapText="1"/>
      <protection locked="0"/>
    </xf>
    <xf numFmtId="0" fontId="66" fillId="0" borderId="0" xfId="0" applyFont="1" applyAlignment="1" applyProtection="1">
      <alignment vertical="top" wrapText="1"/>
      <protection locked="0"/>
    </xf>
    <xf numFmtId="0" fontId="10" fillId="6" borderId="19" xfId="0" applyFont="1" applyFill="1" applyBorder="1" applyAlignment="1" applyProtection="1">
      <alignment vertical="top" wrapText="1"/>
    </xf>
    <xf numFmtId="165" fontId="10" fillId="6" borderId="19" xfId="4" applyNumberFormat="1" applyFont="1" applyFill="1" applyBorder="1" applyAlignment="1" applyProtection="1">
      <alignment horizontal="left" vertical="top" wrapText="1"/>
      <protection locked="0"/>
    </xf>
    <xf numFmtId="165" fontId="10" fillId="6" borderId="19" xfId="4" applyNumberFormat="1" applyFont="1" applyFill="1" applyBorder="1" applyAlignment="1" applyProtection="1">
      <alignment horizontal="right" vertical="top" wrapText="1"/>
      <protection locked="0"/>
    </xf>
    <xf numFmtId="0" fontId="131" fillId="6" borderId="0" xfId="0" applyFont="1" applyFill="1" applyBorder="1" applyAlignment="1" applyProtection="1">
      <alignment horizontal="left" vertical="center"/>
    </xf>
    <xf numFmtId="0" fontId="20" fillId="6" borderId="11" xfId="0" applyFont="1" applyFill="1" applyBorder="1" applyAlignment="1">
      <alignment horizontal="center" vertical="center" wrapText="1"/>
    </xf>
    <xf numFmtId="0" fontId="20" fillId="6" borderId="14" xfId="0" applyFont="1" applyFill="1" applyBorder="1" applyAlignment="1">
      <alignment horizontal="center" vertical="center"/>
    </xf>
    <xf numFmtId="0" fontId="19" fillId="6" borderId="0" xfId="0" applyFont="1" applyFill="1" applyAlignment="1">
      <alignment vertical="center"/>
    </xf>
    <xf numFmtId="0" fontId="42" fillId="6" borderId="0" xfId="0" applyFont="1" applyFill="1" applyAlignment="1">
      <alignment horizontal="right" wrapText="1"/>
    </xf>
    <xf numFmtId="0" fontId="19" fillId="6" borderId="15" xfId="0" applyFont="1" applyFill="1" applyBorder="1" applyAlignment="1">
      <alignment vertical="center"/>
    </xf>
    <xf numFmtId="0" fontId="29" fillId="6" borderId="14" xfId="0" applyFont="1" applyFill="1" applyBorder="1" applyAlignment="1">
      <alignment horizontal="center" vertical="top"/>
    </xf>
    <xf numFmtId="0" fontId="29" fillId="6" borderId="15" xfId="0" applyFont="1" applyFill="1" applyBorder="1" applyAlignment="1">
      <alignment vertical="top"/>
    </xf>
    <xf numFmtId="0" fontId="19" fillId="6" borderId="14" xfId="0" applyFont="1" applyFill="1" applyBorder="1" applyAlignment="1">
      <alignment horizontal="right"/>
    </xf>
    <xf numFmtId="0" fontId="19" fillId="6" borderId="17" xfId="0" applyFont="1" applyFill="1" applyBorder="1" applyAlignment="1">
      <alignment horizontal="right"/>
    </xf>
    <xf numFmtId="0" fontId="19" fillId="6" borderId="17" xfId="0" applyFont="1" applyFill="1" applyBorder="1" applyAlignment="1">
      <alignment horizontal="left"/>
    </xf>
    <xf numFmtId="0" fontId="19" fillId="6" borderId="18" xfId="0" applyFont="1" applyFill="1" applyBorder="1" applyAlignment="1">
      <alignment horizontal="right"/>
    </xf>
    <xf numFmtId="0" fontId="25" fillId="6" borderId="14" xfId="0" applyFont="1" applyFill="1" applyBorder="1" applyAlignment="1">
      <alignment horizontal="left" vertical="center" wrapText="1"/>
    </xf>
    <xf numFmtId="0" fontId="29" fillId="6" borderId="14" xfId="0" applyFont="1" applyFill="1" applyBorder="1" applyAlignment="1">
      <alignment horizontal="center" vertical="top" wrapText="1"/>
    </xf>
    <xf numFmtId="0" fontId="29" fillId="6" borderId="0" xfId="0" applyFont="1" applyFill="1" applyAlignment="1">
      <alignment horizontal="center" vertical="top" wrapText="1"/>
    </xf>
    <xf numFmtId="0" fontId="29" fillId="6" borderId="15" xfId="0" applyFont="1" applyFill="1" applyBorder="1" applyAlignment="1">
      <alignment horizontal="center" vertical="top" wrapText="1"/>
    </xf>
    <xf numFmtId="0" fontId="36" fillId="12" borderId="54" xfId="0" applyFont="1" applyFill="1" applyBorder="1" applyAlignment="1">
      <alignment vertical="center" wrapText="1"/>
    </xf>
    <xf numFmtId="0" fontId="36" fillId="12" borderId="55" xfId="0" applyFont="1" applyFill="1" applyBorder="1" applyAlignment="1">
      <alignment vertical="center" wrapText="1"/>
    </xf>
    <xf numFmtId="0" fontId="28" fillId="6" borderId="15" xfId="0" applyFont="1" applyFill="1" applyBorder="1" applyAlignment="1">
      <alignment vertical="center" wrapText="1"/>
    </xf>
    <xf numFmtId="0" fontId="41" fillId="6" borderId="46" xfId="0" applyFont="1" applyFill="1" applyBorder="1" applyAlignment="1">
      <alignment vertical="center" wrapText="1"/>
    </xf>
    <xf numFmtId="0" fontId="41" fillId="6" borderId="43" xfId="0" applyFont="1" applyFill="1" applyBorder="1" applyAlignment="1">
      <alignment vertical="center" wrapText="1"/>
    </xf>
    <xf numFmtId="0" fontId="41" fillId="6" borderId="44" xfId="0" applyFont="1" applyFill="1" applyBorder="1" applyAlignment="1">
      <alignment vertical="center" wrapText="1"/>
    </xf>
    <xf numFmtId="0" fontId="41" fillId="6" borderId="42" xfId="0" applyFont="1" applyFill="1" applyBorder="1" applyAlignment="1">
      <alignment vertical="center" wrapText="1"/>
    </xf>
    <xf numFmtId="0" fontId="41" fillId="6" borderId="45" xfId="0" applyFont="1" applyFill="1" applyBorder="1" applyAlignment="1">
      <alignment vertical="center" wrapText="1"/>
    </xf>
    <xf numFmtId="0" fontId="28" fillId="9" borderId="38" xfId="0" applyFont="1" applyFill="1" applyBorder="1" applyAlignment="1">
      <alignment horizontal="left" vertical="center" wrapText="1"/>
    </xf>
    <xf numFmtId="0" fontId="19" fillId="6" borderId="16" xfId="0" applyFont="1" applyFill="1" applyBorder="1" applyAlignment="1">
      <alignment horizontal="right"/>
    </xf>
    <xf numFmtId="0" fontId="29" fillId="6" borderId="15" xfId="0" applyFont="1" applyFill="1" applyBorder="1" applyAlignment="1" applyProtection="1">
      <alignment horizontal="center" vertical="top" wrapText="1"/>
    </xf>
    <xf numFmtId="0" fontId="19" fillId="6" borderId="0" xfId="0" applyFont="1" applyFill="1" applyBorder="1" applyAlignment="1" applyProtection="1">
      <alignment horizontal="left" vertical="center"/>
    </xf>
    <xf numFmtId="0" fontId="0" fillId="0" borderId="0" xfId="0" applyNumberFormat="1" applyBorder="1" applyProtection="1"/>
    <xf numFmtId="0" fontId="10" fillId="0" borderId="62" xfId="0" applyFont="1" applyBorder="1"/>
    <xf numFmtId="0" fontId="10" fillId="0" borderId="63" xfId="0" applyFont="1" applyBorder="1"/>
    <xf numFmtId="167" fontId="10" fillId="6" borderId="19" xfId="5" applyNumberFormat="1" applyFont="1" applyFill="1" applyBorder="1" applyAlignment="1" applyProtection="1">
      <alignment horizontal="right" vertical="top" wrapText="1"/>
    </xf>
    <xf numFmtId="165" fontId="10" fillId="7" borderId="19" xfId="4" applyNumberFormat="1" applyFont="1" applyFill="1" applyBorder="1" applyAlignment="1" applyProtection="1">
      <alignment horizontal="left" vertical="top" wrapText="1"/>
      <protection locked="0"/>
    </xf>
    <xf numFmtId="0" fontId="10" fillId="8" borderId="19" xfId="0" applyFont="1" applyFill="1" applyBorder="1" applyAlignment="1" applyProtection="1">
      <alignment horizontal="left" vertical="top" wrapText="1"/>
      <protection locked="0"/>
    </xf>
    <xf numFmtId="0" fontId="0" fillId="7" borderId="0" xfId="0" applyFill="1" applyProtection="1">
      <protection locked="0"/>
    </xf>
    <xf numFmtId="0" fontId="19" fillId="6" borderId="14" xfId="0" applyFont="1" applyFill="1" applyBorder="1" applyAlignment="1" applyProtection="1">
      <alignment horizontal="right" vertical="center"/>
      <protection locked="0"/>
    </xf>
    <xf numFmtId="165" fontId="96" fillId="6" borderId="19" xfId="4" applyNumberFormat="1" applyFont="1" applyFill="1" applyBorder="1" applyAlignment="1" applyProtection="1">
      <alignment horizontal="left" vertical="top" wrapText="1"/>
      <protection locked="0"/>
    </xf>
    <xf numFmtId="9" fontId="96" fillId="6" borderId="19" xfId="5" applyFont="1" applyFill="1" applyBorder="1" applyAlignment="1" applyProtection="1">
      <alignment horizontal="right" vertical="top" wrapText="1"/>
      <protection locked="0"/>
    </xf>
    <xf numFmtId="0" fontId="10" fillId="6" borderId="15" xfId="0" applyFont="1" applyFill="1" applyBorder="1" applyAlignment="1" applyProtection="1">
      <alignment horizontal="left" vertical="top" wrapText="1"/>
      <protection locked="0"/>
    </xf>
    <xf numFmtId="168" fontId="70" fillId="6" borderId="15" xfId="0" applyNumberFormat="1" applyFont="1" applyFill="1" applyBorder="1" applyAlignment="1" applyProtection="1">
      <alignment horizontal="left" vertical="top" wrapText="1"/>
      <protection locked="0"/>
    </xf>
    <xf numFmtId="170" fontId="10" fillId="6" borderId="15" xfId="0" applyNumberFormat="1" applyFont="1" applyFill="1" applyBorder="1" applyAlignment="1" applyProtection="1">
      <alignment horizontal="left" vertical="top" wrapText="1"/>
      <protection locked="0"/>
    </xf>
    <xf numFmtId="0" fontId="19" fillId="6" borderId="26" xfId="0" applyFont="1" applyFill="1" applyBorder="1" applyAlignment="1" applyProtection="1">
      <alignment horizontal="right" vertical="center" wrapText="1"/>
    </xf>
    <xf numFmtId="0" fontId="19" fillId="6" borderId="14" xfId="0" applyFont="1" applyFill="1" applyBorder="1" applyAlignment="1" applyProtection="1">
      <alignment horizontal="center" vertical="center" wrapText="1"/>
    </xf>
    <xf numFmtId="0" fontId="19" fillId="6" borderId="26" xfId="0" applyFont="1" applyFill="1" applyBorder="1" applyAlignment="1" applyProtection="1">
      <alignment horizontal="center" vertical="center" wrapText="1"/>
    </xf>
    <xf numFmtId="0" fontId="28" fillId="13" borderId="81" xfId="0" applyFont="1" applyFill="1" applyBorder="1" applyAlignment="1" applyProtection="1">
      <alignment horizontal="center" vertical="center" wrapText="1"/>
    </xf>
    <xf numFmtId="0" fontId="28" fillId="13" borderId="21" xfId="0" applyFont="1" applyFill="1" applyBorder="1" applyAlignment="1" applyProtection="1">
      <alignment horizontal="center" vertical="center" wrapText="1"/>
    </xf>
    <xf numFmtId="0" fontId="10" fillId="7" borderId="23" xfId="0" applyFont="1" applyFill="1" applyBorder="1" applyAlignment="1" applyProtection="1">
      <alignment horizontal="left" vertical="top" wrapText="1"/>
    </xf>
    <xf numFmtId="0" fontId="10" fillId="7" borderId="25" xfId="0" applyFont="1" applyFill="1" applyBorder="1" applyAlignment="1" applyProtection="1">
      <alignment horizontal="left" vertical="top" wrapText="1"/>
    </xf>
    <xf numFmtId="0" fontId="10" fillId="8" borderId="23" xfId="0" applyFont="1" applyFill="1" applyBorder="1" applyAlignment="1" applyProtection="1">
      <alignment horizontal="left" vertical="top" wrapText="1"/>
    </xf>
    <xf numFmtId="0" fontId="10" fillId="8" borderId="25" xfId="0" applyFont="1" applyFill="1" applyBorder="1" applyAlignment="1" applyProtection="1">
      <alignment horizontal="left" vertical="top" wrapText="1"/>
    </xf>
    <xf numFmtId="0" fontId="10" fillId="6" borderId="23" xfId="0" applyFont="1" applyFill="1" applyBorder="1" applyAlignment="1" applyProtection="1">
      <alignment horizontal="left" vertical="top" wrapText="1"/>
    </xf>
    <xf numFmtId="0" fontId="10" fillId="6" borderId="25" xfId="0" applyFont="1" applyFill="1" applyBorder="1" applyAlignment="1" applyProtection="1">
      <alignment horizontal="left" vertical="top" wrapText="1"/>
    </xf>
    <xf numFmtId="0" fontId="20" fillId="6" borderId="12" xfId="0" applyFont="1" applyFill="1" applyBorder="1" applyAlignment="1" applyProtection="1">
      <alignment horizontal="center" vertical="center" wrapText="1"/>
    </xf>
    <xf numFmtId="0" fontId="20" fillId="6" borderId="13" xfId="0" applyFont="1" applyFill="1" applyBorder="1" applyAlignment="1" applyProtection="1">
      <alignment horizontal="center" vertical="center" wrapText="1"/>
    </xf>
    <xf numFmtId="0" fontId="27" fillId="6" borderId="0" xfId="0" applyFont="1" applyFill="1" applyAlignment="1" applyProtection="1">
      <alignment horizontal="left" vertical="center" wrapText="1"/>
    </xf>
    <xf numFmtId="165" fontId="10" fillId="7" borderId="23" xfId="4" applyNumberFormat="1" applyFont="1" applyFill="1" applyBorder="1" applyAlignment="1" applyProtection="1">
      <alignment horizontal="left" vertical="top" wrapText="1"/>
      <protection locked="0"/>
    </xf>
    <xf numFmtId="165" fontId="10" fillId="7" borderId="24" xfId="4" applyNumberFormat="1" applyFont="1" applyFill="1" applyBorder="1" applyAlignment="1" applyProtection="1">
      <alignment horizontal="left" vertical="top" wrapText="1"/>
      <protection locked="0"/>
    </xf>
    <xf numFmtId="165" fontId="10" fillId="7" borderId="25" xfId="4" applyNumberFormat="1" applyFont="1" applyFill="1" applyBorder="1" applyAlignment="1" applyProtection="1">
      <alignment horizontal="left" vertical="top" wrapText="1"/>
      <protection locked="0"/>
    </xf>
    <xf numFmtId="9" fontId="10" fillId="7" borderId="23" xfId="5" applyFont="1" applyFill="1" applyBorder="1" applyAlignment="1" applyProtection="1">
      <alignment horizontal="left" vertical="top" wrapText="1"/>
      <protection locked="0"/>
    </xf>
    <xf numFmtId="9" fontId="10" fillId="7" borderId="24" xfId="5" applyFont="1" applyFill="1" applyBorder="1" applyAlignment="1" applyProtection="1">
      <alignment horizontal="left" vertical="top" wrapText="1"/>
      <protection locked="0"/>
    </xf>
    <xf numFmtId="9" fontId="10" fillId="7" borderId="25" xfId="5" applyFont="1" applyFill="1" applyBorder="1" applyAlignment="1" applyProtection="1">
      <alignment horizontal="left" vertical="top" wrapText="1"/>
      <protection locked="0"/>
    </xf>
    <xf numFmtId="0" fontId="10" fillId="7" borderId="23" xfId="0" applyFont="1" applyFill="1" applyBorder="1" applyAlignment="1" applyProtection="1">
      <alignment horizontal="left" vertical="top" wrapText="1"/>
      <protection locked="0"/>
    </xf>
    <xf numFmtId="0" fontId="10" fillId="7" borderId="24" xfId="0" applyFont="1" applyFill="1" applyBorder="1" applyAlignment="1" applyProtection="1">
      <alignment horizontal="left" vertical="top" wrapText="1"/>
      <protection locked="0"/>
    </xf>
    <xf numFmtId="0" fontId="10" fillId="7" borderId="25" xfId="0" applyFont="1" applyFill="1" applyBorder="1" applyAlignment="1" applyProtection="1">
      <alignment horizontal="left" vertical="top" wrapText="1"/>
      <protection locked="0"/>
    </xf>
    <xf numFmtId="164" fontId="10" fillId="7" borderId="23" xfId="0" applyNumberFormat="1" applyFont="1" applyFill="1" applyBorder="1" applyAlignment="1" applyProtection="1">
      <alignment horizontal="left" vertical="top" wrapText="1"/>
      <protection locked="0"/>
    </xf>
    <xf numFmtId="164" fontId="10" fillId="7" borderId="24" xfId="0" applyNumberFormat="1" applyFont="1" applyFill="1" applyBorder="1" applyAlignment="1" applyProtection="1">
      <alignment horizontal="left" vertical="top" wrapText="1"/>
      <protection locked="0"/>
    </xf>
    <xf numFmtId="164" fontId="10" fillId="7" borderId="25" xfId="0" applyNumberFormat="1" applyFont="1" applyFill="1" applyBorder="1" applyAlignment="1" applyProtection="1">
      <alignment horizontal="left" vertical="top" wrapText="1"/>
      <protection locked="0"/>
    </xf>
    <xf numFmtId="0" fontId="10" fillId="8" borderId="23" xfId="0" applyFont="1" applyFill="1" applyBorder="1" applyAlignment="1" applyProtection="1">
      <alignment horizontal="left" vertical="top" wrapText="1"/>
      <protection locked="0"/>
    </xf>
    <xf numFmtId="0" fontId="10" fillId="8" borderId="24" xfId="0" applyFont="1" applyFill="1" applyBorder="1" applyAlignment="1" applyProtection="1">
      <alignment horizontal="left" vertical="top" wrapText="1"/>
      <protection locked="0"/>
    </xf>
    <xf numFmtId="0" fontId="10" fillId="8" borderId="25" xfId="0" applyFont="1" applyFill="1" applyBorder="1" applyAlignment="1" applyProtection="1">
      <alignment horizontal="left" vertical="top" wrapText="1"/>
      <protection locked="0"/>
    </xf>
    <xf numFmtId="0" fontId="10" fillId="8" borderId="19" xfId="0" applyFont="1" applyFill="1" applyBorder="1" applyAlignment="1" applyProtection="1">
      <alignment horizontal="left" vertical="top" wrapText="1"/>
      <protection locked="0"/>
    </xf>
    <xf numFmtId="0" fontId="29" fillId="6" borderId="12" xfId="0" applyFont="1" applyFill="1" applyBorder="1" applyAlignment="1" applyProtection="1">
      <alignment horizontal="center" vertical="top" wrapText="1"/>
    </xf>
    <xf numFmtId="0" fontId="29" fillId="6" borderId="13" xfId="0" applyFont="1" applyFill="1" applyBorder="1" applyAlignment="1" applyProtection="1">
      <alignment horizontal="center" vertical="top" wrapText="1"/>
    </xf>
    <xf numFmtId="0" fontId="10" fillId="7" borderId="19" xfId="0" applyFont="1" applyFill="1" applyBorder="1" applyAlignment="1" applyProtection="1">
      <alignment horizontal="left" vertical="top" wrapText="1"/>
      <protection locked="0"/>
    </xf>
    <xf numFmtId="9" fontId="10" fillId="8" borderId="19" xfId="5" applyFont="1" applyFill="1" applyBorder="1" applyAlignment="1" applyProtection="1">
      <alignment horizontal="left" vertical="top" wrapText="1"/>
      <protection locked="0"/>
    </xf>
    <xf numFmtId="165" fontId="10" fillId="7" borderId="19" xfId="4" applyNumberFormat="1" applyFont="1" applyFill="1" applyBorder="1" applyAlignment="1" applyProtection="1">
      <alignment horizontal="left" vertical="top" wrapText="1"/>
      <protection locked="0"/>
    </xf>
    <xf numFmtId="0" fontId="0" fillId="7" borderId="23" xfId="0" applyFill="1" applyBorder="1" applyAlignment="1" applyProtection="1">
      <alignment horizontal="left" vertical="top" wrapText="1"/>
      <protection locked="0"/>
    </xf>
    <xf numFmtId="0" fontId="0" fillId="7" borderId="24" xfId="0" applyFill="1" applyBorder="1" applyAlignment="1" applyProtection="1">
      <alignment horizontal="left" vertical="top" wrapText="1"/>
      <protection locked="0"/>
    </xf>
    <xf numFmtId="0" fontId="0" fillId="7" borderId="25" xfId="0" applyFill="1" applyBorder="1" applyAlignment="1" applyProtection="1">
      <alignment horizontal="left" vertical="top" wrapText="1"/>
      <protection locked="0"/>
    </xf>
    <xf numFmtId="0" fontId="35" fillId="6" borderId="0" xfId="0" applyFont="1" applyFill="1" applyBorder="1" applyAlignment="1" applyProtection="1">
      <alignment horizontal="left" vertical="top" wrapText="1"/>
    </xf>
    <xf numFmtId="165" fontId="10" fillId="8" borderId="23" xfId="4" applyNumberFormat="1" applyFont="1" applyFill="1" applyBorder="1" applyAlignment="1" applyProtection="1">
      <alignment horizontal="center" vertical="top" wrapText="1"/>
      <protection locked="0"/>
    </xf>
    <xf numFmtId="165" fontId="10" fillId="8" borderId="24" xfId="4" applyNumberFormat="1" applyFont="1" applyFill="1" applyBorder="1" applyAlignment="1" applyProtection="1">
      <alignment horizontal="center" vertical="top" wrapText="1"/>
      <protection locked="0"/>
    </xf>
    <xf numFmtId="165" fontId="10" fillId="8" borderId="25" xfId="4" applyNumberFormat="1" applyFont="1" applyFill="1" applyBorder="1" applyAlignment="1" applyProtection="1">
      <alignment horizontal="center" vertical="top" wrapText="1"/>
      <protection locked="0"/>
    </xf>
    <xf numFmtId="165" fontId="10" fillId="6" borderId="19" xfId="4" applyNumberFormat="1" applyFont="1" applyFill="1" applyBorder="1" applyAlignment="1" applyProtection="1">
      <alignment horizontal="left" vertical="top" wrapText="1"/>
    </xf>
    <xf numFmtId="0" fontId="10" fillId="8" borderId="23" xfId="0" applyFont="1" applyFill="1" applyBorder="1" applyAlignment="1" applyProtection="1">
      <alignment horizontal="center" vertical="top" wrapText="1"/>
      <protection locked="0"/>
    </xf>
    <xf numFmtId="0" fontId="10" fillId="8" borderId="24" xfId="0" applyFont="1" applyFill="1" applyBorder="1" applyAlignment="1" applyProtection="1">
      <alignment horizontal="center" vertical="top" wrapText="1"/>
      <protection locked="0"/>
    </xf>
    <xf numFmtId="0" fontId="10" fillId="8" borderId="25" xfId="0" applyFont="1" applyFill="1" applyBorder="1" applyAlignment="1" applyProtection="1">
      <alignment horizontal="center" vertical="top" wrapText="1"/>
      <protection locked="0"/>
    </xf>
    <xf numFmtId="0" fontId="10" fillId="6" borderId="24" xfId="0" applyFont="1" applyFill="1" applyBorder="1" applyAlignment="1" applyProtection="1">
      <alignment horizontal="left" vertical="top" wrapText="1"/>
    </xf>
    <xf numFmtId="0" fontId="29" fillId="6" borderId="0" xfId="0" applyFont="1" applyFill="1" applyAlignment="1" applyProtection="1">
      <alignment horizontal="right" vertical="top"/>
    </xf>
    <xf numFmtId="0" fontId="29" fillId="6" borderId="12" xfId="0" applyFont="1" applyFill="1" applyBorder="1" applyAlignment="1" applyProtection="1">
      <alignment horizontal="center" vertical="center" wrapText="1"/>
    </xf>
    <xf numFmtId="165" fontId="10" fillId="8" borderId="19" xfId="4" applyNumberFormat="1" applyFont="1" applyFill="1" applyBorder="1" applyAlignment="1" applyProtection="1">
      <alignment horizontal="left" vertical="top" wrapText="1"/>
      <protection locked="0"/>
    </xf>
    <xf numFmtId="0" fontId="10" fillId="7" borderId="19" xfId="0" applyFont="1" applyFill="1" applyBorder="1" applyAlignment="1" applyProtection="1">
      <alignment horizontal="right" vertical="top" wrapText="1"/>
      <protection locked="0"/>
    </xf>
    <xf numFmtId="0" fontId="35" fillId="6" borderId="0" xfId="0" applyFont="1" applyFill="1" applyAlignment="1" applyProtection="1">
      <alignment horizontal="left" vertical="top" wrapText="1"/>
    </xf>
    <xf numFmtId="0" fontId="52" fillId="0" borderId="14" xfId="0" applyFont="1" applyBorder="1" applyAlignment="1" applyProtection="1">
      <alignment horizontal="left" vertical="top" wrapText="1"/>
      <protection locked="0"/>
    </xf>
    <xf numFmtId="0" fontId="52" fillId="0" borderId="0" xfId="0" applyFont="1" applyAlignment="1" applyProtection="1">
      <alignment horizontal="left" vertical="top" wrapText="1"/>
      <protection locked="0"/>
    </xf>
    <xf numFmtId="0" fontId="19" fillId="6" borderId="0" xfId="0" applyFont="1" applyFill="1" applyBorder="1" applyAlignment="1" applyProtection="1">
      <alignment horizontal="left" vertical="center" wrapText="1"/>
    </xf>
    <xf numFmtId="0" fontId="52" fillId="0" borderId="0" xfId="0" applyFont="1" applyBorder="1" applyAlignment="1" applyProtection="1">
      <alignment horizontal="left" vertical="top" wrapText="1"/>
      <protection locked="0"/>
    </xf>
    <xf numFmtId="0" fontId="36" fillId="10" borderId="0" xfId="0" applyFont="1" applyFill="1" applyBorder="1" applyAlignment="1" applyProtection="1">
      <alignment horizontal="center" vertical="center" wrapText="1"/>
    </xf>
    <xf numFmtId="0" fontId="26" fillId="6" borderId="0" xfId="0" applyFont="1" applyFill="1" applyAlignment="1" applyProtection="1">
      <alignment horizontal="center" vertical="top" wrapText="1"/>
    </xf>
    <xf numFmtId="0" fontId="26" fillId="6" borderId="15" xfId="0" applyFont="1" applyFill="1" applyBorder="1" applyAlignment="1" applyProtection="1">
      <alignment horizontal="center" vertical="top" wrapText="1"/>
    </xf>
    <xf numFmtId="0" fontId="26" fillId="6" borderId="21" xfId="0" applyFont="1" applyFill="1" applyBorder="1" applyAlignment="1" applyProtection="1">
      <alignment horizontal="left" vertical="center" wrapText="1"/>
    </xf>
    <xf numFmtId="0" fontId="19" fillId="6" borderId="0" xfId="0" applyFont="1" applyFill="1" applyAlignment="1" applyProtection="1">
      <alignment horizontal="left" vertical="top" wrapText="1"/>
    </xf>
    <xf numFmtId="0" fontId="20" fillId="6" borderId="0" xfId="0" applyFont="1" applyFill="1" applyAlignment="1" applyProtection="1">
      <alignment horizontal="left" vertical="top" wrapText="1"/>
    </xf>
    <xf numFmtId="165" fontId="10" fillId="7" borderId="23" xfId="4" applyNumberFormat="1" applyFont="1" applyFill="1" applyBorder="1" applyAlignment="1" applyProtection="1">
      <alignment horizontal="center" vertical="top" wrapText="1"/>
      <protection locked="0"/>
    </xf>
    <xf numFmtId="165" fontId="10" fillId="7" borderId="24" xfId="4" applyNumberFormat="1" applyFont="1" applyFill="1" applyBorder="1" applyAlignment="1" applyProtection="1">
      <alignment horizontal="center" vertical="top" wrapText="1"/>
      <protection locked="0"/>
    </xf>
    <xf numFmtId="165" fontId="10" fillId="7" borderId="25" xfId="4" applyNumberFormat="1" applyFont="1" applyFill="1" applyBorder="1" applyAlignment="1" applyProtection="1">
      <alignment horizontal="center" vertical="top" wrapText="1"/>
      <protection locked="0"/>
    </xf>
    <xf numFmtId="0" fontId="10" fillId="0" borderId="23" xfId="0" applyFont="1" applyBorder="1" applyAlignment="1" applyProtection="1">
      <alignment horizontal="left" vertical="top" wrapText="1"/>
      <protection locked="0"/>
    </xf>
    <xf numFmtId="0" fontId="10" fillId="0" borderId="24" xfId="0" applyFont="1" applyBorder="1" applyAlignment="1" applyProtection="1">
      <alignment horizontal="left" vertical="top" wrapText="1"/>
      <protection locked="0"/>
    </xf>
    <xf numFmtId="0" fontId="10" fillId="0" borderId="25" xfId="0" applyFont="1" applyBorder="1" applyAlignment="1" applyProtection="1">
      <alignment horizontal="left" vertical="top" wrapText="1"/>
      <protection locked="0"/>
    </xf>
    <xf numFmtId="0" fontId="19" fillId="6" borderId="21" xfId="0" applyFont="1" applyFill="1" applyBorder="1" applyAlignment="1" applyProtection="1">
      <alignment horizontal="left" vertical="center" wrapText="1"/>
    </xf>
    <xf numFmtId="0" fontId="56" fillId="0" borderId="23" xfId="0" applyFont="1" applyBorder="1" applyAlignment="1" applyProtection="1">
      <alignment horizontal="left" vertical="top" wrapText="1"/>
      <protection locked="0"/>
    </xf>
    <xf numFmtId="0" fontId="56" fillId="0" borderId="24" xfId="0" applyFont="1" applyBorder="1" applyAlignment="1" applyProtection="1">
      <alignment horizontal="left" vertical="top" wrapText="1"/>
      <protection locked="0"/>
    </xf>
    <xf numFmtId="0" fontId="56" fillId="0" borderId="25" xfId="0" applyFont="1" applyBorder="1" applyAlignment="1" applyProtection="1">
      <alignment horizontal="left" vertical="top" wrapText="1"/>
      <protection locked="0"/>
    </xf>
    <xf numFmtId="0" fontId="27" fillId="6" borderId="0" xfId="0" applyFont="1" applyFill="1" applyBorder="1" applyAlignment="1" applyProtection="1">
      <alignment horizontal="left" vertical="center" wrapText="1"/>
    </xf>
    <xf numFmtId="0" fontId="27" fillId="6" borderId="21" xfId="0" applyFont="1" applyFill="1" applyBorder="1" applyAlignment="1" applyProtection="1">
      <alignment horizontal="left" vertical="center" wrapText="1"/>
    </xf>
    <xf numFmtId="0" fontId="19" fillId="6" borderId="0" xfId="0" applyFont="1" applyFill="1" applyAlignment="1" applyProtection="1">
      <alignment horizontal="left" vertical="center" wrapText="1"/>
    </xf>
    <xf numFmtId="0" fontId="19" fillId="6" borderId="26" xfId="0" applyFont="1" applyFill="1" applyBorder="1" applyAlignment="1" applyProtection="1">
      <alignment horizontal="left" vertical="center" wrapText="1"/>
    </xf>
    <xf numFmtId="0" fontId="19" fillId="6" borderId="0" xfId="0" applyFont="1" applyFill="1" applyAlignment="1" applyProtection="1">
      <alignment horizontal="right" vertical="center" wrapText="1" indent="1"/>
    </xf>
    <xf numFmtId="0" fontId="19" fillId="6" borderId="26" xfId="0" applyFont="1" applyFill="1" applyBorder="1" applyAlignment="1" applyProtection="1">
      <alignment horizontal="right" vertical="center" wrapText="1" indent="1"/>
    </xf>
    <xf numFmtId="0" fontId="19" fillId="6" borderId="0" xfId="0" applyFont="1" applyFill="1" applyAlignment="1" applyProtection="1">
      <alignment horizontal="right" vertical="center" indent="1"/>
    </xf>
    <xf numFmtId="0" fontId="19" fillId="6" borderId="26" xfId="0" applyFont="1" applyFill="1" applyBorder="1" applyAlignment="1" applyProtection="1">
      <alignment horizontal="right" vertical="center" indent="1"/>
    </xf>
    <xf numFmtId="0" fontId="26" fillId="6" borderId="0" xfId="0" applyFont="1" applyFill="1" applyAlignment="1" applyProtection="1">
      <alignment horizontal="left" vertical="center" wrapText="1"/>
    </xf>
    <xf numFmtId="0" fontId="26" fillId="6" borderId="0" xfId="0" applyFont="1" applyFill="1" applyAlignment="1" applyProtection="1">
      <alignment horizontal="left" vertical="center"/>
    </xf>
    <xf numFmtId="0" fontId="26" fillId="6" borderId="0" xfId="0" applyFont="1" applyFill="1" applyBorder="1" applyAlignment="1" applyProtection="1">
      <alignment horizontal="left" vertical="center" wrapText="1"/>
    </xf>
    <xf numFmtId="0" fontId="35" fillId="6" borderId="0" xfId="0" applyFont="1" applyFill="1" applyAlignment="1" applyProtection="1">
      <alignment horizontal="left" vertical="center" wrapText="1"/>
    </xf>
    <xf numFmtId="0" fontId="51" fillId="0" borderId="23" xfId="7" applyBorder="1" applyAlignment="1" applyProtection="1">
      <alignment horizontal="left" vertical="top" wrapText="1"/>
      <protection locked="0"/>
    </xf>
    <xf numFmtId="0" fontId="29" fillId="6" borderId="13" xfId="0" applyFont="1" applyFill="1" applyBorder="1" applyAlignment="1" applyProtection="1">
      <alignment horizontal="center" vertical="center" wrapText="1"/>
    </xf>
    <xf numFmtId="0" fontId="27" fillId="6" borderId="15" xfId="0" applyFont="1" applyFill="1" applyBorder="1" applyAlignment="1" applyProtection="1">
      <alignment horizontal="left" vertical="center" wrapText="1"/>
    </xf>
    <xf numFmtId="0" fontId="28" fillId="6" borderId="0" xfId="0" applyFont="1" applyFill="1" applyBorder="1" applyAlignment="1" applyProtection="1">
      <alignment horizontal="right" vertical="center" wrapText="1"/>
    </xf>
    <xf numFmtId="0" fontId="29" fillId="6" borderId="12" xfId="0" applyFont="1" applyFill="1" applyBorder="1" applyAlignment="1" applyProtection="1">
      <alignment horizontal="center" wrapText="1"/>
    </xf>
    <xf numFmtId="0" fontId="29" fillId="6" borderId="13" xfId="0" applyFont="1" applyFill="1" applyBorder="1" applyAlignment="1" applyProtection="1">
      <alignment horizontal="center" wrapText="1"/>
    </xf>
    <xf numFmtId="0" fontId="29" fillId="6" borderId="88" xfId="0" applyFont="1" applyFill="1" applyBorder="1" applyAlignment="1" applyProtection="1">
      <alignment horizontal="center" vertical="top" wrapText="1"/>
    </xf>
    <xf numFmtId="0" fontId="29" fillId="6" borderId="89" xfId="0" applyFont="1" applyFill="1" applyBorder="1" applyAlignment="1" applyProtection="1">
      <alignment horizontal="center" vertical="top" wrapText="1"/>
    </xf>
    <xf numFmtId="0" fontId="29" fillId="6" borderId="0" xfId="0" applyFont="1" applyFill="1" applyBorder="1" applyAlignment="1" applyProtection="1">
      <alignment horizontal="center" vertical="top" wrapText="1"/>
    </xf>
    <xf numFmtId="0" fontId="29" fillId="6" borderId="15" xfId="0" applyFont="1" applyFill="1" applyBorder="1" applyAlignment="1" applyProtection="1">
      <alignment horizontal="center" vertical="top" wrapText="1"/>
    </xf>
    <xf numFmtId="0" fontId="124" fillId="6" borderId="0" xfId="0" applyFont="1" applyFill="1" applyBorder="1" applyAlignment="1" applyProtection="1">
      <alignment horizontal="right" vertical="center" wrapText="1"/>
    </xf>
    <xf numFmtId="0" fontId="124" fillId="6" borderId="26" xfId="0" applyFont="1" applyFill="1" applyBorder="1" applyAlignment="1" applyProtection="1">
      <alignment horizontal="right" vertical="center" wrapText="1"/>
    </xf>
    <xf numFmtId="0" fontId="19" fillId="6" borderId="0" xfId="0" applyFont="1" applyFill="1" applyBorder="1" applyAlignment="1" applyProtection="1">
      <alignment horizontal="right" vertical="center" wrapText="1"/>
    </xf>
    <xf numFmtId="0" fontId="48" fillId="6" borderId="0" xfId="0" applyFont="1" applyFill="1" applyBorder="1" applyAlignment="1" applyProtection="1">
      <alignment horizontal="right" vertical="center" wrapText="1" indent="1"/>
    </xf>
    <xf numFmtId="0" fontId="48" fillId="6" borderId="26" xfId="0" applyFont="1" applyFill="1" applyBorder="1" applyAlignment="1" applyProtection="1">
      <alignment horizontal="right" vertical="center" wrapText="1" indent="1"/>
    </xf>
    <xf numFmtId="0" fontId="19" fillId="6" borderId="0" xfId="0" applyFont="1" applyFill="1" applyAlignment="1" applyProtection="1">
      <alignment horizontal="right" vertical="center" wrapText="1"/>
    </xf>
    <xf numFmtId="9" fontId="47" fillId="6" borderId="23" xfId="5" applyFont="1" applyFill="1" applyBorder="1" applyAlignment="1" applyProtection="1">
      <alignment horizontal="center" vertical="center" wrapText="1"/>
    </xf>
    <xf numFmtId="9" fontId="47" fillId="6" borderId="24" xfId="5" applyFont="1" applyFill="1" applyBorder="1" applyAlignment="1" applyProtection="1">
      <alignment horizontal="center" vertical="center" wrapText="1"/>
    </xf>
    <xf numFmtId="9" fontId="47" fillId="6" borderId="25" xfId="5" applyFont="1" applyFill="1" applyBorder="1" applyAlignment="1" applyProtection="1">
      <alignment horizontal="center" vertical="center" wrapText="1"/>
    </xf>
    <xf numFmtId="0" fontId="45" fillId="12" borderId="0" xfId="0" applyFont="1" applyFill="1" applyAlignment="1" applyProtection="1">
      <alignment horizontal="center" wrapText="1"/>
    </xf>
    <xf numFmtId="0" fontId="36" fillId="10" borderId="23" xfId="0" applyFont="1" applyFill="1" applyBorder="1" applyAlignment="1" applyProtection="1">
      <alignment horizontal="center" wrapText="1"/>
    </xf>
    <xf numFmtId="0" fontId="36" fillId="10" borderId="24" xfId="0" applyFont="1" applyFill="1" applyBorder="1" applyAlignment="1" applyProtection="1">
      <alignment horizontal="center" wrapText="1"/>
    </xf>
    <xf numFmtId="0" fontId="36" fillId="10" borderId="25" xfId="0" applyFont="1" applyFill="1" applyBorder="1" applyAlignment="1" applyProtection="1">
      <alignment horizontal="center" wrapText="1"/>
    </xf>
    <xf numFmtId="0" fontId="45" fillId="12" borderId="0" xfId="0" applyFont="1" applyFill="1" applyAlignment="1" applyProtection="1">
      <alignment horizontal="center" vertical="top" wrapText="1"/>
    </xf>
    <xf numFmtId="0" fontId="19" fillId="6" borderId="0" xfId="0" applyFont="1" applyFill="1" applyAlignment="1" applyProtection="1">
      <alignment horizontal="right" vertical="center"/>
    </xf>
    <xf numFmtId="0" fontId="19" fillId="6" borderId="26" xfId="0" applyFont="1" applyFill="1" applyBorder="1" applyAlignment="1" applyProtection="1">
      <alignment horizontal="right" vertical="center"/>
    </xf>
    <xf numFmtId="0" fontId="45" fillId="17" borderId="0" xfId="0" applyFont="1" applyFill="1" applyAlignment="1" applyProtection="1">
      <alignment horizontal="left" vertical="center" wrapText="1"/>
    </xf>
    <xf numFmtId="0" fontId="29" fillId="6" borderId="0" xfId="0" applyFont="1" applyFill="1" applyAlignment="1" applyProtection="1">
      <alignment horizontal="center" vertical="top" wrapText="1"/>
    </xf>
    <xf numFmtId="0" fontId="28" fillId="6" borderId="0" xfId="0" applyFont="1" applyFill="1" applyAlignment="1" applyProtection="1">
      <alignment horizontal="right" vertical="center" wrapText="1"/>
    </xf>
    <xf numFmtId="0" fontId="38" fillId="12" borderId="85" xfId="0" applyFont="1" applyFill="1" applyBorder="1" applyAlignment="1" applyProtection="1">
      <alignment horizontal="center" vertical="top" wrapText="1"/>
    </xf>
    <xf numFmtId="0" fontId="38" fillId="12" borderId="53" xfId="0" applyFont="1" applyFill="1" applyBorder="1" applyAlignment="1" applyProtection="1">
      <alignment horizontal="center" vertical="top" wrapText="1"/>
    </xf>
    <xf numFmtId="0" fontId="38" fillId="12" borderId="86" xfId="0" applyFont="1" applyFill="1" applyBorder="1" applyAlignment="1" applyProtection="1">
      <alignment horizontal="center" vertical="top" wrapText="1"/>
    </xf>
    <xf numFmtId="0" fontId="45" fillId="17" borderId="23" xfId="0" applyFont="1" applyFill="1" applyBorder="1" applyAlignment="1" applyProtection="1">
      <alignment horizontal="center" vertical="center" wrapText="1"/>
    </xf>
    <xf numFmtId="0" fontId="45" fillId="17" borderId="24" xfId="0" applyFont="1" applyFill="1" applyBorder="1" applyAlignment="1" applyProtection="1">
      <alignment horizontal="center" vertical="center" wrapText="1"/>
    </xf>
    <xf numFmtId="0" fontId="45" fillId="17" borderId="25" xfId="0" applyFont="1" applyFill="1" applyBorder="1" applyAlignment="1" applyProtection="1">
      <alignment horizontal="center" vertical="center" wrapText="1"/>
    </xf>
    <xf numFmtId="0" fontId="20" fillId="6" borderId="0" xfId="0" applyFont="1" applyFill="1" applyAlignment="1" applyProtection="1">
      <alignment horizontal="right" vertical="center" wrapText="1"/>
    </xf>
    <xf numFmtId="0" fontId="20" fillId="6" borderId="0" xfId="0" applyFont="1" applyFill="1" applyBorder="1" applyAlignment="1" applyProtection="1">
      <alignment horizontal="right" vertical="center" wrapText="1"/>
    </xf>
    <xf numFmtId="0" fontId="45" fillId="12" borderId="0" xfId="0" applyFont="1" applyFill="1" applyBorder="1" applyAlignment="1" applyProtection="1">
      <alignment horizontal="center" vertical="top" wrapText="1"/>
    </xf>
    <xf numFmtId="0" fontId="51" fillId="6" borderId="0" xfId="7" applyFill="1" applyAlignment="1" applyProtection="1">
      <alignment horizontal="center" vertical="center" wrapText="1"/>
    </xf>
    <xf numFmtId="0" fontId="10" fillId="0" borderId="23" xfId="0" applyFont="1" applyBorder="1" applyAlignment="1" applyProtection="1">
      <alignment horizontal="center" vertical="top" wrapText="1"/>
      <protection locked="0"/>
    </xf>
    <xf numFmtId="0" fontId="10" fillId="0" borderId="25" xfId="0" applyFont="1" applyBorder="1" applyAlignment="1" applyProtection="1">
      <alignment horizontal="center" vertical="top" wrapText="1"/>
      <protection locked="0"/>
    </xf>
    <xf numFmtId="0" fontId="38" fillId="12" borderId="0" xfId="0" applyFont="1" applyFill="1" applyBorder="1" applyAlignment="1" applyProtection="1">
      <alignment horizontal="center" vertical="top" wrapText="1"/>
    </xf>
    <xf numFmtId="0" fontId="10" fillId="18" borderId="23" xfId="0" applyFont="1" applyFill="1" applyBorder="1" applyAlignment="1" applyProtection="1">
      <alignment horizontal="center" vertical="top" wrapText="1"/>
      <protection locked="0"/>
    </xf>
    <xf numFmtId="0" fontId="10" fillId="18" borderId="25" xfId="0" applyFont="1" applyFill="1" applyBorder="1" applyAlignment="1" applyProtection="1">
      <alignment horizontal="center" vertical="top" wrapText="1"/>
      <protection locked="0"/>
    </xf>
    <xf numFmtId="0" fontId="29" fillId="6" borderId="0" xfId="0" applyFont="1" applyFill="1" applyAlignment="1" applyProtection="1">
      <alignment horizontal="center" vertical="top"/>
    </xf>
    <xf numFmtId="165" fontId="10" fillId="6" borderId="23" xfId="4" applyNumberFormat="1" applyFont="1" applyFill="1" applyBorder="1" applyAlignment="1" applyProtection="1">
      <alignment horizontal="center" vertical="top" wrapText="1"/>
    </xf>
    <xf numFmtId="165" fontId="10" fillId="6" borderId="24" xfId="4" applyNumberFormat="1" applyFont="1" applyFill="1" applyBorder="1" applyAlignment="1" applyProtection="1">
      <alignment horizontal="center" vertical="top" wrapText="1"/>
    </xf>
    <xf numFmtId="165" fontId="10" fillId="6" borderId="25" xfId="4" applyNumberFormat="1" applyFont="1" applyFill="1" applyBorder="1" applyAlignment="1" applyProtection="1">
      <alignment horizontal="center" vertical="top" wrapText="1"/>
    </xf>
    <xf numFmtId="166" fontId="10" fillId="6" borderId="23" xfId="4" applyNumberFormat="1" applyFont="1" applyFill="1" applyBorder="1" applyAlignment="1" applyProtection="1">
      <alignment horizontal="center" vertical="center" wrapText="1"/>
    </xf>
    <xf numFmtId="166" fontId="10" fillId="6" borderId="24" xfId="4" applyNumberFormat="1" applyFont="1" applyFill="1" applyBorder="1" applyAlignment="1" applyProtection="1">
      <alignment horizontal="center" vertical="center" wrapText="1"/>
    </xf>
    <xf numFmtId="166" fontId="10" fillId="6" borderId="25" xfId="4" applyNumberFormat="1" applyFont="1" applyFill="1" applyBorder="1" applyAlignment="1" applyProtection="1">
      <alignment horizontal="center" vertical="center" wrapText="1"/>
    </xf>
    <xf numFmtId="0" fontId="45" fillId="17" borderId="0" xfId="0" applyFont="1" applyFill="1" applyAlignment="1" applyProtection="1">
      <alignment horizontal="center" vertical="center" wrapText="1"/>
    </xf>
    <xf numFmtId="0" fontId="29" fillId="6" borderId="0" xfId="0" applyFont="1" applyFill="1" applyBorder="1" applyAlignment="1" applyProtection="1">
      <alignment horizontal="center" wrapText="1"/>
    </xf>
    <xf numFmtId="0" fontId="27" fillId="6" borderId="0" xfId="0" applyFont="1" applyFill="1" applyBorder="1" applyAlignment="1" applyProtection="1">
      <alignment horizontal="left" vertical="top" wrapText="1"/>
    </xf>
    <xf numFmtId="0" fontId="60" fillId="6" borderId="0" xfId="0" applyFont="1" applyFill="1" applyAlignment="1" applyProtection="1">
      <alignment horizontal="center" vertical="top"/>
    </xf>
    <xf numFmtId="0" fontId="42" fillId="6" borderId="0" xfId="0" applyFont="1" applyFill="1" applyAlignment="1" applyProtection="1">
      <alignment horizontal="right" vertical="top"/>
    </xf>
    <xf numFmtId="0" fontId="110" fillId="6" borderId="0" xfId="0" applyFont="1" applyFill="1" applyBorder="1" applyAlignment="1" applyProtection="1">
      <alignment horizontal="right" vertical="center" wrapText="1"/>
    </xf>
    <xf numFmtId="0" fontId="36" fillId="10" borderId="0" xfId="0" applyFont="1" applyFill="1" applyBorder="1" applyAlignment="1" applyProtection="1">
      <alignment horizontal="center" vertical="top" wrapText="1"/>
    </xf>
    <xf numFmtId="0" fontId="28" fillId="13" borderId="21" xfId="0" applyFont="1" applyFill="1" applyBorder="1" applyAlignment="1" applyProtection="1">
      <alignment horizontal="center" wrapText="1"/>
    </xf>
    <xf numFmtId="0" fontId="28" fillId="13" borderId="81" xfId="0" applyFont="1" applyFill="1" applyBorder="1" applyAlignment="1" applyProtection="1">
      <alignment horizontal="center" wrapText="1"/>
    </xf>
    <xf numFmtId="165" fontId="10" fillId="6" borderId="23" xfId="4" applyNumberFormat="1" applyFont="1" applyFill="1" applyBorder="1" applyAlignment="1" applyProtection="1">
      <alignment horizontal="left" vertical="top" wrapText="1"/>
    </xf>
    <xf numFmtId="165" fontId="10" fillId="6" borderId="24" xfId="4" applyNumberFormat="1" applyFont="1" applyFill="1" applyBorder="1" applyAlignment="1" applyProtection="1">
      <alignment horizontal="left" vertical="top" wrapText="1"/>
    </xf>
    <xf numFmtId="165" fontId="10" fillId="6" borderId="25" xfId="4" applyNumberFormat="1" applyFont="1" applyFill="1" applyBorder="1" applyAlignment="1" applyProtection="1">
      <alignment horizontal="left" vertical="top" wrapText="1"/>
    </xf>
    <xf numFmtId="0" fontId="28" fillId="13" borderId="51" xfId="0" applyFont="1" applyFill="1" applyBorder="1" applyAlignment="1" applyProtection="1">
      <alignment horizontal="center" wrapText="1"/>
    </xf>
    <xf numFmtId="3" fontId="10" fillId="6" borderId="23" xfId="5" applyNumberFormat="1" applyFont="1" applyFill="1" applyBorder="1" applyAlignment="1" applyProtection="1">
      <alignment horizontal="left" vertical="top" wrapText="1"/>
      <protection locked="0"/>
    </xf>
    <xf numFmtId="3" fontId="10" fillId="6" borderId="24" xfId="5" applyNumberFormat="1" applyFont="1" applyFill="1" applyBorder="1" applyAlignment="1" applyProtection="1">
      <alignment horizontal="left" vertical="top" wrapText="1"/>
      <protection locked="0"/>
    </xf>
    <xf numFmtId="3" fontId="10" fillId="6" borderId="25" xfId="5" applyNumberFormat="1" applyFont="1" applyFill="1" applyBorder="1" applyAlignment="1" applyProtection="1">
      <alignment horizontal="left" vertical="top" wrapText="1"/>
      <protection locked="0"/>
    </xf>
    <xf numFmtId="3" fontId="10" fillId="7" borderId="23" xfId="5" applyNumberFormat="1" applyFont="1" applyFill="1" applyBorder="1" applyAlignment="1" applyProtection="1">
      <alignment horizontal="left" vertical="top" wrapText="1"/>
      <protection locked="0"/>
    </xf>
    <xf numFmtId="3" fontId="10" fillId="7" borderId="24" xfId="5" applyNumberFormat="1" applyFont="1" applyFill="1" applyBorder="1" applyAlignment="1" applyProtection="1">
      <alignment horizontal="left" vertical="top" wrapText="1"/>
      <protection locked="0"/>
    </xf>
    <xf numFmtId="3" fontId="10" fillId="7" borderId="25" xfId="5" applyNumberFormat="1" applyFont="1" applyFill="1" applyBorder="1" applyAlignment="1" applyProtection="1">
      <alignment horizontal="left" vertical="top" wrapText="1"/>
      <protection locked="0"/>
    </xf>
    <xf numFmtId="0" fontId="19" fillId="6" borderId="76" xfId="0" applyFont="1" applyFill="1" applyBorder="1" applyAlignment="1" applyProtection="1">
      <alignment horizontal="left" vertical="center" wrapText="1"/>
    </xf>
    <xf numFmtId="0" fontId="28" fillId="13" borderId="81" xfId="0" applyFont="1" applyFill="1" applyBorder="1" applyAlignment="1" applyProtection="1">
      <alignment horizontal="left" wrapText="1"/>
    </xf>
    <xf numFmtId="0" fontId="28" fillId="13" borderId="51" xfId="0" applyFont="1" applyFill="1" applyBorder="1" applyAlignment="1" applyProtection="1">
      <alignment horizontal="left" wrapText="1"/>
    </xf>
    <xf numFmtId="9" fontId="10" fillId="8" borderId="23" xfId="5" applyFont="1" applyFill="1" applyBorder="1" applyAlignment="1" applyProtection="1">
      <alignment horizontal="left" vertical="top" wrapText="1"/>
      <protection locked="0"/>
    </xf>
    <xf numFmtId="9" fontId="10" fillId="8" borderId="24" xfId="5" applyFont="1" applyFill="1" applyBorder="1" applyAlignment="1" applyProtection="1">
      <alignment horizontal="left" vertical="top" wrapText="1"/>
      <protection locked="0"/>
    </xf>
    <xf numFmtId="9" fontId="10" fillId="8" borderId="25" xfId="5" applyFont="1" applyFill="1" applyBorder="1" applyAlignment="1" applyProtection="1">
      <alignment horizontal="left" vertical="top" wrapText="1"/>
      <protection locked="0"/>
    </xf>
    <xf numFmtId="0" fontId="28" fillId="13" borderId="0" xfId="0" applyFont="1" applyFill="1" applyBorder="1" applyAlignment="1" applyProtection="1">
      <alignment horizontal="center" wrapText="1"/>
    </xf>
    <xf numFmtId="0" fontId="28" fillId="13" borderId="26" xfId="0" applyFont="1" applyFill="1" applyBorder="1" applyAlignment="1" applyProtection="1">
      <alignment horizontal="center" wrapText="1"/>
    </xf>
    <xf numFmtId="0" fontId="28" fillId="13" borderId="76" xfId="0" applyFont="1" applyFill="1" applyBorder="1" applyAlignment="1" applyProtection="1">
      <alignment horizontal="center" wrapText="1"/>
    </xf>
    <xf numFmtId="0" fontId="19" fillId="6" borderId="0" xfId="0" applyFont="1" applyFill="1" applyAlignment="1" applyProtection="1">
      <alignment horizontal="left" wrapText="1"/>
    </xf>
    <xf numFmtId="0" fontId="110" fillId="6" borderId="0" xfId="0" applyFont="1" applyFill="1" applyAlignment="1" applyProtection="1">
      <alignment horizontal="left" vertical="center" wrapText="1"/>
    </xf>
    <xf numFmtId="0" fontId="28" fillId="13" borderId="0" xfId="0" applyFont="1" applyFill="1" applyBorder="1" applyAlignment="1" applyProtection="1">
      <alignment horizontal="left" wrapText="1"/>
    </xf>
    <xf numFmtId="173" fontId="10" fillId="6" borderId="96" xfId="5" applyNumberFormat="1" applyFont="1" applyFill="1" applyBorder="1" applyAlignment="1" applyProtection="1">
      <alignment horizontal="left" vertical="top" wrapText="1"/>
    </xf>
    <xf numFmtId="173" fontId="10" fillId="6" borderId="25" xfId="5" applyNumberFormat="1" applyFont="1" applyFill="1" applyBorder="1" applyAlignment="1" applyProtection="1">
      <alignment horizontal="left" vertical="top" wrapText="1"/>
    </xf>
    <xf numFmtId="0" fontId="28" fillId="13" borderId="93" xfId="0" applyFont="1" applyFill="1" applyBorder="1" applyAlignment="1" applyProtection="1">
      <alignment horizontal="center" wrapText="1"/>
    </xf>
    <xf numFmtId="165" fontId="10" fillId="7" borderId="95" xfId="4" applyNumberFormat="1" applyFont="1" applyFill="1" applyBorder="1" applyAlignment="1" applyProtection="1">
      <alignment horizontal="center" vertical="center" wrapText="1"/>
      <protection locked="0"/>
    </xf>
    <xf numFmtId="165" fontId="10" fillId="7" borderId="94" xfId="4" applyNumberFormat="1" applyFont="1" applyFill="1" applyBorder="1" applyAlignment="1" applyProtection="1">
      <alignment horizontal="center" vertical="center" wrapText="1"/>
      <protection locked="0"/>
    </xf>
    <xf numFmtId="0" fontId="10" fillId="7" borderId="23" xfId="0" applyFont="1" applyFill="1" applyBorder="1" applyAlignment="1" applyProtection="1">
      <alignment horizontal="center" vertical="top" wrapText="1"/>
      <protection locked="0"/>
    </xf>
    <xf numFmtId="0" fontId="10" fillId="7" borderId="25" xfId="0" applyFont="1" applyFill="1" applyBorder="1" applyAlignment="1" applyProtection="1">
      <alignment horizontal="center" vertical="top" wrapText="1"/>
      <protection locked="0"/>
    </xf>
    <xf numFmtId="0" fontId="28" fillId="13" borderId="0" xfId="0" applyFont="1" applyFill="1" applyBorder="1" applyAlignment="1" applyProtection="1">
      <alignment horizontal="right" wrapText="1"/>
    </xf>
    <xf numFmtId="0" fontId="19" fillId="6" borderId="76" xfId="0" applyFont="1" applyFill="1" applyBorder="1" applyAlignment="1" applyProtection="1">
      <alignment horizontal="right" vertical="center" wrapText="1"/>
    </xf>
    <xf numFmtId="9" fontId="10" fillId="18" borderId="23" xfId="5" applyFont="1" applyFill="1" applyBorder="1" applyAlignment="1" applyProtection="1">
      <alignment horizontal="left" vertical="top" wrapText="1"/>
      <protection locked="0"/>
    </xf>
    <xf numFmtId="9" fontId="10" fillId="18" borderId="24" xfId="5" applyFont="1" applyFill="1" applyBorder="1" applyAlignment="1" applyProtection="1">
      <alignment horizontal="left" vertical="top" wrapText="1"/>
      <protection locked="0"/>
    </xf>
    <xf numFmtId="9" fontId="10" fillId="18" borderId="25" xfId="5" applyFont="1" applyFill="1" applyBorder="1" applyAlignment="1" applyProtection="1">
      <alignment horizontal="left" vertical="top" wrapText="1"/>
      <protection locked="0"/>
    </xf>
    <xf numFmtId="3" fontId="10" fillId="6" borderId="23" xfId="5" applyNumberFormat="1" applyFont="1" applyFill="1" applyBorder="1" applyAlignment="1" applyProtection="1">
      <alignment horizontal="center" vertical="top" wrapText="1"/>
    </xf>
    <xf numFmtId="3" fontId="10" fillId="6" borderId="25" xfId="5" applyNumberFormat="1" applyFont="1" applyFill="1" applyBorder="1" applyAlignment="1" applyProtection="1">
      <alignment horizontal="center" vertical="top" wrapText="1"/>
    </xf>
    <xf numFmtId="0" fontId="28" fillId="13" borderId="0" xfId="0" applyFont="1" applyFill="1" applyBorder="1" applyAlignment="1" applyProtection="1">
      <alignment horizontal="center" vertical="center" wrapText="1"/>
    </xf>
    <xf numFmtId="0" fontId="28" fillId="13" borderId="26" xfId="0" applyFont="1" applyFill="1" applyBorder="1" applyAlignment="1" applyProtection="1">
      <alignment horizontal="center" vertical="center" wrapText="1"/>
    </xf>
    <xf numFmtId="0" fontId="27" fillId="6" borderId="0" xfId="0" applyFont="1" applyFill="1" applyAlignment="1" applyProtection="1">
      <alignment horizontal="left" vertical="top" wrapText="1"/>
    </xf>
    <xf numFmtId="9" fontId="10" fillId="6" borderId="23" xfId="5" applyFont="1" applyFill="1" applyBorder="1" applyAlignment="1" applyProtection="1">
      <alignment horizontal="center" vertical="center" wrapText="1"/>
    </xf>
    <xf numFmtId="9" fontId="10" fillId="6" borderId="25" xfId="5" applyFont="1" applyFill="1" applyBorder="1" applyAlignment="1" applyProtection="1">
      <alignment horizontal="center" vertical="center" wrapText="1"/>
    </xf>
    <xf numFmtId="0" fontId="20" fillId="6" borderId="26" xfId="0" applyFont="1" applyFill="1" applyBorder="1" applyAlignment="1" applyProtection="1">
      <alignment horizontal="right" vertical="center" wrapText="1"/>
    </xf>
    <xf numFmtId="0" fontId="60" fillId="6" borderId="0" xfId="0" applyFont="1" applyFill="1" applyBorder="1" applyAlignment="1" applyProtection="1">
      <alignment horizontal="center" vertical="top"/>
    </xf>
    <xf numFmtId="0" fontId="35" fillId="6" borderId="0" xfId="0" applyFont="1" applyFill="1" applyBorder="1" applyAlignment="1" applyProtection="1">
      <alignment horizontal="left" vertical="center" wrapText="1"/>
    </xf>
    <xf numFmtId="0" fontId="45" fillId="17" borderId="0" xfId="0" applyFont="1" applyFill="1" applyBorder="1" applyAlignment="1" applyProtection="1">
      <alignment horizontal="center" vertical="center" wrapText="1"/>
    </xf>
    <xf numFmtId="3" fontId="10" fillId="6" borderId="23" xfId="5" applyNumberFormat="1" applyFont="1" applyFill="1" applyBorder="1" applyAlignment="1" applyProtection="1">
      <alignment horizontal="center" vertical="top" wrapText="1"/>
      <protection locked="0"/>
    </xf>
    <xf numFmtId="3" fontId="10" fillId="6" borderId="25" xfId="5" applyNumberFormat="1" applyFont="1" applyFill="1" applyBorder="1" applyAlignment="1" applyProtection="1">
      <alignment horizontal="center" vertical="top" wrapText="1"/>
      <protection locked="0"/>
    </xf>
    <xf numFmtId="0" fontId="20" fillId="6" borderId="11" xfId="0" applyFont="1" applyFill="1" applyBorder="1" applyAlignment="1" applyProtection="1">
      <alignment horizontal="center" vertical="center" wrapText="1"/>
    </xf>
    <xf numFmtId="164" fontId="10" fillId="7" borderId="23" xfId="5" applyNumberFormat="1" applyFont="1" applyFill="1" applyBorder="1" applyAlignment="1" applyProtection="1">
      <alignment horizontal="left" vertical="center" wrapText="1"/>
      <protection locked="0"/>
    </xf>
    <xf numFmtId="164" fontId="10" fillId="7" borderId="25" xfId="5" applyNumberFormat="1" applyFont="1" applyFill="1" applyBorder="1" applyAlignment="1" applyProtection="1">
      <alignment horizontal="left" vertical="center" wrapText="1"/>
      <protection locked="0"/>
    </xf>
    <xf numFmtId="0" fontId="28" fillId="13" borderId="26" xfId="0" applyFont="1" applyFill="1" applyBorder="1" applyAlignment="1" applyProtection="1">
      <alignment horizontal="right" wrapText="1"/>
    </xf>
    <xf numFmtId="9" fontId="10" fillId="6" borderId="23" xfId="5" applyFont="1" applyFill="1" applyBorder="1" applyAlignment="1" applyProtection="1">
      <alignment horizontal="right" vertical="top" wrapText="1"/>
    </xf>
    <xf numFmtId="9" fontId="10" fillId="6" borderId="24" xfId="5" applyFont="1" applyFill="1" applyBorder="1" applyAlignment="1" applyProtection="1">
      <alignment horizontal="right" vertical="top" wrapText="1"/>
    </xf>
    <xf numFmtId="9" fontId="10" fillId="6" borderId="25" xfId="5" applyFont="1" applyFill="1" applyBorder="1" applyAlignment="1" applyProtection="1">
      <alignment horizontal="right" vertical="top" wrapText="1"/>
    </xf>
    <xf numFmtId="9" fontId="14" fillId="6" borderId="23" xfId="5" applyFont="1" applyFill="1" applyBorder="1" applyAlignment="1" applyProtection="1">
      <alignment horizontal="center" vertical="center" wrapText="1"/>
    </xf>
    <xf numFmtId="9" fontId="14" fillId="6" borderId="25" xfId="5" applyFont="1" applyFill="1" applyBorder="1" applyAlignment="1" applyProtection="1">
      <alignment horizontal="center" vertical="center" wrapText="1"/>
    </xf>
    <xf numFmtId="0" fontId="28" fillId="6" borderId="21" xfId="0" applyFont="1" applyFill="1" applyBorder="1" applyAlignment="1" applyProtection="1">
      <alignment horizontal="center" vertical="center" wrapText="1"/>
    </xf>
    <xf numFmtId="2" fontId="14" fillId="6" borderId="23" xfId="4" applyNumberFormat="1" applyFont="1" applyFill="1" applyBorder="1" applyAlignment="1" applyProtection="1">
      <alignment horizontal="center" vertical="center" wrapText="1"/>
    </xf>
    <xf numFmtId="2" fontId="14" fillId="6" borderId="25" xfId="4" applyNumberFormat="1" applyFont="1" applyFill="1" applyBorder="1" applyAlignment="1" applyProtection="1">
      <alignment horizontal="center" vertical="center" wrapText="1"/>
    </xf>
    <xf numFmtId="3" fontId="14" fillId="6" borderId="23" xfId="4" applyNumberFormat="1" applyFont="1" applyFill="1" applyBorder="1" applyAlignment="1" applyProtection="1">
      <alignment horizontal="center" vertical="center" wrapText="1"/>
    </xf>
    <xf numFmtId="3" fontId="14" fillId="6" borderId="25" xfId="4" applyNumberFormat="1" applyFont="1" applyFill="1" applyBorder="1" applyAlignment="1" applyProtection="1">
      <alignment horizontal="center" vertical="center" wrapText="1"/>
    </xf>
    <xf numFmtId="0" fontId="28" fillId="13" borderId="23" xfId="0" applyFont="1" applyFill="1" applyBorder="1" applyAlignment="1" applyProtection="1">
      <alignment horizontal="center" wrapText="1"/>
    </xf>
    <xf numFmtId="0" fontId="28" fillId="13" borderId="25" xfId="0" applyFont="1" applyFill="1" applyBorder="1" applyAlignment="1" applyProtection="1">
      <alignment horizontal="center" wrapText="1"/>
    </xf>
    <xf numFmtId="173" fontId="10" fillId="6" borderId="96" xfId="5" applyNumberFormat="1" applyFont="1" applyFill="1" applyBorder="1" applyAlignment="1" applyProtection="1">
      <alignment horizontal="center" vertical="top" wrapText="1"/>
    </xf>
    <xf numFmtId="173" fontId="10" fillId="6" borderId="25" xfId="5" applyNumberFormat="1" applyFont="1" applyFill="1" applyBorder="1" applyAlignment="1" applyProtection="1">
      <alignment horizontal="center" vertical="top" wrapText="1"/>
    </xf>
    <xf numFmtId="9" fontId="0" fillId="6" borderId="23" xfId="0" applyNumberFormat="1" applyFill="1" applyBorder="1" applyAlignment="1" applyProtection="1">
      <alignment horizontal="right" vertical="top" wrapText="1"/>
    </xf>
    <xf numFmtId="9" fontId="0" fillId="6" borderId="24" xfId="0" applyNumberFormat="1" applyFill="1" applyBorder="1" applyAlignment="1" applyProtection="1">
      <alignment horizontal="right" vertical="top" wrapText="1"/>
    </xf>
    <xf numFmtId="9" fontId="0" fillId="6" borderId="25" xfId="0" applyNumberFormat="1" applyFill="1" applyBorder="1" applyAlignment="1" applyProtection="1">
      <alignment horizontal="right" vertical="top" wrapText="1"/>
    </xf>
    <xf numFmtId="168" fontId="10" fillId="6" borderId="23" xfId="4" applyNumberFormat="1" applyFont="1" applyFill="1" applyBorder="1" applyAlignment="1" applyProtection="1">
      <alignment horizontal="right" vertical="top" wrapText="1"/>
      <protection locked="0"/>
    </xf>
    <xf numFmtId="168" fontId="10" fillId="6" borderId="25" xfId="4" applyNumberFormat="1" applyFont="1" applyFill="1" applyBorder="1" applyAlignment="1" applyProtection="1">
      <alignment horizontal="right" vertical="top" wrapText="1"/>
      <protection locked="0"/>
    </xf>
    <xf numFmtId="0" fontId="19" fillId="6" borderId="76" xfId="0" applyFont="1" applyFill="1" applyBorder="1" applyAlignment="1" applyProtection="1">
      <alignment horizontal="left" vertical="center"/>
    </xf>
    <xf numFmtId="0" fontId="19" fillId="6" borderId="0" xfId="0" applyFont="1" applyFill="1" applyBorder="1" applyAlignment="1" applyProtection="1">
      <alignment horizontal="left" vertical="center"/>
    </xf>
    <xf numFmtId="164" fontId="10" fillId="7" borderId="23" xfId="4" applyNumberFormat="1" applyFont="1" applyFill="1" applyBorder="1" applyAlignment="1" applyProtection="1">
      <alignment horizontal="left" vertical="top" wrapText="1"/>
      <protection locked="0"/>
    </xf>
    <xf numFmtId="164" fontId="10" fillId="7" borderId="25" xfId="4" applyNumberFormat="1" applyFont="1" applyFill="1" applyBorder="1" applyAlignment="1" applyProtection="1">
      <alignment horizontal="left" vertical="top" wrapText="1"/>
      <protection locked="0"/>
    </xf>
    <xf numFmtId="0" fontId="28" fillId="13" borderId="24" xfId="0" applyFont="1" applyFill="1" applyBorder="1" applyAlignment="1" applyProtection="1">
      <alignment horizontal="left" wrapText="1"/>
    </xf>
    <xf numFmtId="0" fontId="28" fillId="13" borderId="25" xfId="0" applyFont="1" applyFill="1" applyBorder="1" applyAlignment="1" applyProtection="1">
      <alignment horizontal="left" wrapText="1"/>
    </xf>
    <xf numFmtId="165" fontId="10" fillId="18" borderId="23" xfId="4" applyNumberFormat="1" applyFont="1" applyFill="1" applyBorder="1" applyAlignment="1" applyProtection="1">
      <alignment horizontal="left" vertical="top" wrapText="1"/>
      <protection locked="0"/>
    </xf>
    <xf numFmtId="165" fontId="10" fillId="18" borderId="24" xfId="4" applyNumberFormat="1" applyFont="1" applyFill="1" applyBorder="1" applyAlignment="1" applyProtection="1">
      <alignment horizontal="left" vertical="top" wrapText="1"/>
      <protection locked="0"/>
    </xf>
    <xf numFmtId="165" fontId="10" fillId="18" borderId="25" xfId="4" applyNumberFormat="1" applyFont="1" applyFill="1" applyBorder="1" applyAlignment="1" applyProtection="1">
      <alignment horizontal="left" vertical="top" wrapText="1"/>
      <protection locked="0"/>
    </xf>
    <xf numFmtId="0" fontId="10" fillId="18" borderId="0" xfId="4" applyNumberFormat="1" applyFont="1" applyFill="1" applyBorder="1" applyAlignment="1" applyProtection="1">
      <alignment horizontal="left" vertical="top" wrapText="1"/>
      <protection locked="0"/>
    </xf>
    <xf numFmtId="0" fontId="10" fillId="18" borderId="26" xfId="4" applyNumberFormat="1" applyFont="1" applyFill="1" applyBorder="1" applyAlignment="1" applyProtection="1">
      <alignment horizontal="left" vertical="top" wrapText="1"/>
      <protection locked="0"/>
    </xf>
    <xf numFmtId="2" fontId="10" fillId="6" borderId="23" xfId="4" applyNumberFormat="1" applyFont="1" applyFill="1" applyBorder="1" applyAlignment="1" applyProtection="1">
      <alignment horizontal="center" vertical="top" wrapText="1"/>
    </xf>
    <xf numFmtId="2" fontId="10" fillId="6" borderId="25" xfId="4" applyNumberFormat="1" applyFont="1" applyFill="1" applyBorder="1" applyAlignment="1" applyProtection="1">
      <alignment horizontal="center" vertical="top" wrapText="1"/>
    </xf>
    <xf numFmtId="0" fontId="45" fillId="17" borderId="83" xfId="0" applyFont="1" applyFill="1" applyBorder="1" applyAlignment="1" applyProtection="1">
      <alignment horizontal="center" vertical="center" wrapText="1"/>
    </xf>
    <xf numFmtId="0" fontId="45" fillId="17" borderId="84" xfId="0" applyFont="1" applyFill="1" applyBorder="1" applyAlignment="1" applyProtection="1">
      <alignment horizontal="center" vertical="center" wrapText="1"/>
    </xf>
    <xf numFmtId="165" fontId="10" fillId="6" borderId="76" xfId="4" applyNumberFormat="1" applyFont="1" applyFill="1" applyBorder="1" applyAlignment="1" applyProtection="1">
      <alignment horizontal="center" vertical="top" wrapText="1"/>
    </xf>
    <xf numFmtId="165" fontId="10" fillId="6" borderId="26" xfId="4" applyNumberFormat="1" applyFont="1" applyFill="1" applyBorder="1" applyAlignment="1" applyProtection="1">
      <alignment horizontal="center" vertical="top" wrapText="1"/>
    </xf>
    <xf numFmtId="165" fontId="10" fillId="6" borderId="23" xfId="4" applyNumberFormat="1" applyFont="1" applyFill="1" applyBorder="1" applyAlignment="1" applyProtection="1">
      <alignment horizontal="right" vertical="center" wrapText="1"/>
    </xf>
    <xf numFmtId="165" fontId="10" fillId="6" borderId="24" xfId="4" applyNumberFormat="1" applyFont="1" applyFill="1" applyBorder="1" applyAlignment="1" applyProtection="1">
      <alignment horizontal="right" vertical="center" wrapText="1"/>
    </xf>
    <xf numFmtId="165" fontId="10" fillId="6" borderId="25" xfId="4" applyNumberFormat="1" applyFont="1" applyFill="1" applyBorder="1" applyAlignment="1" applyProtection="1">
      <alignment horizontal="right" vertical="center" wrapText="1"/>
    </xf>
    <xf numFmtId="168" fontId="10" fillId="6" borderId="23" xfId="4" applyNumberFormat="1" applyFont="1" applyFill="1" applyBorder="1" applyAlignment="1" applyProtection="1">
      <alignment horizontal="center" vertical="top" wrapText="1"/>
    </xf>
    <xf numFmtId="168" fontId="10" fillId="6" borderId="25" xfId="4" applyNumberFormat="1" applyFont="1" applyFill="1" applyBorder="1" applyAlignment="1" applyProtection="1">
      <alignment horizontal="center" vertical="top" wrapText="1"/>
    </xf>
    <xf numFmtId="0" fontId="28" fillId="13" borderId="23" xfId="0" applyFont="1" applyFill="1" applyBorder="1" applyAlignment="1" applyProtection="1">
      <alignment horizontal="left" wrapText="1"/>
    </xf>
    <xf numFmtId="0" fontId="36" fillId="10" borderId="0" xfId="0" applyFont="1" applyFill="1" applyBorder="1" applyAlignment="1" applyProtection="1">
      <alignment horizontal="center" vertical="center"/>
    </xf>
    <xf numFmtId="165" fontId="10" fillId="7" borderId="23" xfId="4" applyNumberFormat="1" applyFont="1" applyFill="1" applyBorder="1" applyAlignment="1" applyProtection="1">
      <alignment horizontal="center" vertical="center" wrapText="1"/>
      <protection locked="0"/>
    </xf>
    <xf numFmtId="165" fontId="10" fillId="7" borderId="24" xfId="4" applyNumberFormat="1" applyFont="1" applyFill="1" applyBorder="1" applyAlignment="1" applyProtection="1">
      <alignment horizontal="center" vertical="center" wrapText="1"/>
      <protection locked="0"/>
    </xf>
    <xf numFmtId="165" fontId="10" fillId="7" borderId="25" xfId="4" applyNumberFormat="1" applyFont="1" applyFill="1" applyBorder="1" applyAlignment="1" applyProtection="1">
      <alignment horizontal="center" vertical="center" wrapText="1"/>
      <protection locked="0"/>
    </xf>
    <xf numFmtId="0" fontId="10" fillId="18" borderId="23" xfId="4" applyNumberFormat="1" applyFont="1" applyFill="1" applyBorder="1" applyAlignment="1" applyProtection="1">
      <alignment horizontal="left" vertical="top" wrapText="1"/>
      <protection locked="0"/>
    </xf>
    <xf numFmtId="0" fontId="10" fillId="18" borderId="24" xfId="4" applyNumberFormat="1" applyFont="1" applyFill="1" applyBorder="1" applyAlignment="1" applyProtection="1">
      <alignment horizontal="left" vertical="top" wrapText="1"/>
      <protection locked="0"/>
    </xf>
    <xf numFmtId="0" fontId="10" fillId="18" borderId="25" xfId="4" applyNumberFormat="1" applyFont="1" applyFill="1" applyBorder="1" applyAlignment="1" applyProtection="1">
      <alignment horizontal="left" vertical="top" wrapText="1"/>
      <protection locked="0"/>
    </xf>
    <xf numFmtId="0" fontId="45" fillId="17" borderId="19" xfId="0" applyFont="1" applyFill="1" applyBorder="1" applyAlignment="1" applyProtection="1">
      <alignment horizontal="center" vertical="center" wrapText="1"/>
    </xf>
    <xf numFmtId="0" fontId="27" fillId="6" borderId="0" xfId="0" applyFont="1" applyFill="1" applyBorder="1" applyAlignment="1" applyProtection="1">
      <alignment horizontal="left" wrapText="1"/>
    </xf>
    <xf numFmtId="0" fontId="28" fillId="13" borderId="24" xfId="0" applyFont="1" applyFill="1" applyBorder="1" applyAlignment="1" applyProtection="1">
      <alignment horizontal="center" wrapText="1"/>
    </xf>
    <xf numFmtId="3" fontId="10" fillId="6" borderId="23" xfId="4" applyNumberFormat="1" applyFont="1" applyFill="1" applyBorder="1" applyAlignment="1" applyProtection="1">
      <alignment horizontal="center" vertical="top" wrapText="1"/>
    </xf>
    <xf numFmtId="3" fontId="10" fillId="6" borderId="25" xfId="4" applyNumberFormat="1" applyFont="1" applyFill="1" applyBorder="1" applyAlignment="1" applyProtection="1">
      <alignment horizontal="center" vertical="top" wrapText="1"/>
    </xf>
    <xf numFmtId="9" fontId="14" fillId="6" borderId="77" xfId="5" applyFont="1" applyFill="1" applyBorder="1" applyAlignment="1" applyProtection="1">
      <alignment horizontal="center" vertical="top" wrapText="1"/>
    </xf>
    <xf numFmtId="9" fontId="14" fillId="6" borderId="78" xfId="5" applyFont="1" applyFill="1" applyBorder="1" applyAlignment="1" applyProtection="1">
      <alignment horizontal="center" vertical="top" wrapText="1"/>
    </xf>
    <xf numFmtId="0" fontId="29" fillId="6" borderId="0" xfId="0" applyFont="1" applyFill="1" applyBorder="1" applyAlignment="1" applyProtection="1">
      <alignment horizontal="center" vertical="top"/>
    </xf>
    <xf numFmtId="164" fontId="10" fillId="7" borderId="23" xfId="4" applyNumberFormat="1" applyFont="1" applyFill="1" applyBorder="1" applyAlignment="1" applyProtection="1">
      <alignment horizontal="left" vertical="top"/>
      <protection locked="0"/>
    </xf>
    <xf numFmtId="164" fontId="10" fillId="7" borderId="25" xfId="4" applyNumberFormat="1" applyFont="1" applyFill="1" applyBorder="1" applyAlignment="1" applyProtection="1">
      <alignment horizontal="left" vertical="top"/>
      <protection locked="0"/>
    </xf>
    <xf numFmtId="0" fontId="28" fillId="9" borderId="37" xfId="0" applyFont="1" applyFill="1" applyBorder="1" applyAlignment="1">
      <alignment horizontal="left" vertical="center" wrapText="1"/>
    </xf>
    <xf numFmtId="0" fontId="28" fillId="9" borderId="38" xfId="0" applyFont="1" applyFill="1" applyBorder="1" applyAlignment="1">
      <alignment horizontal="left" vertical="center" wrapText="1"/>
    </xf>
    <xf numFmtId="0" fontId="28" fillId="9" borderId="39" xfId="0" applyFont="1" applyFill="1" applyBorder="1" applyAlignment="1">
      <alignment horizontal="left" vertical="center" wrapText="1"/>
    </xf>
    <xf numFmtId="0" fontId="41" fillId="6" borderId="47" xfId="0" applyFont="1" applyFill="1" applyBorder="1" applyAlignment="1">
      <alignment horizontal="left" vertical="center" wrapText="1"/>
    </xf>
    <xf numFmtId="0" fontId="41" fillId="6" borderId="32" xfId="0" applyFont="1" applyFill="1" applyBorder="1" applyAlignment="1">
      <alignment horizontal="left" vertical="center" wrapText="1"/>
    </xf>
    <xf numFmtId="0" fontId="41" fillId="6" borderId="35" xfId="0" applyFont="1" applyFill="1" applyBorder="1" applyAlignment="1">
      <alignment horizontal="left" vertical="center" wrapText="1"/>
    </xf>
    <xf numFmtId="0" fontId="41" fillId="6" borderId="33" xfId="0" applyFont="1" applyFill="1" applyBorder="1" applyAlignment="1">
      <alignment horizontal="left" vertical="center" wrapText="1"/>
    </xf>
    <xf numFmtId="0" fontId="41" fillId="6" borderId="48" xfId="0" applyFont="1" applyFill="1" applyBorder="1" applyAlignment="1">
      <alignment horizontal="left" vertical="center" wrapText="1"/>
    </xf>
    <xf numFmtId="0" fontId="41" fillId="6" borderId="34" xfId="0" applyFont="1" applyFill="1" applyBorder="1" applyAlignment="1">
      <alignment horizontal="left" vertical="center" wrapText="1"/>
    </xf>
    <xf numFmtId="0" fontId="41" fillId="6" borderId="40" xfId="0" applyFont="1" applyFill="1" applyBorder="1" applyAlignment="1">
      <alignment horizontal="left" vertical="center" wrapText="1"/>
    </xf>
    <xf numFmtId="0" fontId="41" fillId="6" borderId="24" xfId="0" applyFont="1" applyFill="1" applyBorder="1" applyAlignment="1">
      <alignment horizontal="left" vertical="center" wrapText="1"/>
    </xf>
    <xf numFmtId="0" fontId="41" fillId="6" borderId="41" xfId="0" applyFont="1" applyFill="1" applyBorder="1" applyAlignment="1">
      <alignment horizontal="left" vertical="center" wrapText="1"/>
    </xf>
    <xf numFmtId="0" fontId="41" fillId="6" borderId="31" xfId="0" applyFont="1" applyFill="1" applyBorder="1" applyAlignment="1">
      <alignment horizontal="left" vertical="center" wrapText="1"/>
    </xf>
    <xf numFmtId="0" fontId="41" fillId="6" borderId="36" xfId="0" applyFont="1" applyFill="1" applyBorder="1" applyAlignment="1">
      <alignment horizontal="left" vertical="center" wrapText="1"/>
    </xf>
    <xf numFmtId="0" fontId="36" fillId="10" borderId="58" xfId="0" applyFont="1" applyFill="1" applyBorder="1" applyAlignment="1">
      <alignment horizontal="left" vertical="center" wrapText="1"/>
    </xf>
    <xf numFmtId="0" fontId="36" fillId="10" borderId="59" xfId="0" applyFont="1" applyFill="1" applyBorder="1" applyAlignment="1">
      <alignment horizontal="left" vertical="center" wrapText="1"/>
    </xf>
    <xf numFmtId="0" fontId="36" fillId="10" borderId="60" xfId="0" applyFont="1" applyFill="1" applyBorder="1" applyAlignment="1">
      <alignment horizontal="left" vertical="center" wrapText="1"/>
    </xf>
    <xf numFmtId="0" fontId="41" fillId="6" borderId="21" xfId="0" applyFont="1" applyFill="1" applyBorder="1" applyAlignment="1">
      <alignment horizontal="left" vertical="center" wrapText="1"/>
    </xf>
    <xf numFmtId="0" fontId="41" fillId="6" borderId="57" xfId="0" applyFont="1" applyFill="1" applyBorder="1" applyAlignment="1">
      <alignment horizontal="left" vertical="center" wrapText="1"/>
    </xf>
    <xf numFmtId="0" fontId="20" fillId="6" borderId="12" xfId="0" applyFont="1" applyFill="1" applyBorder="1" applyAlignment="1">
      <alignment horizontal="center" vertical="center" wrapText="1"/>
    </xf>
    <xf numFmtId="0" fontId="20" fillId="6" borderId="13" xfId="0" applyFont="1" applyFill="1" applyBorder="1" applyAlignment="1">
      <alignment horizontal="center" vertical="center" wrapText="1"/>
    </xf>
    <xf numFmtId="0" fontId="29" fillId="6" borderId="0" xfId="0" applyFont="1" applyFill="1" applyAlignment="1">
      <alignment horizontal="center" vertical="top"/>
    </xf>
    <xf numFmtId="0" fontId="27" fillId="6" borderId="0" xfId="0" applyFont="1" applyFill="1" applyAlignment="1">
      <alignment horizontal="left" vertical="center" wrapText="1"/>
    </xf>
    <xf numFmtId="0" fontId="27" fillId="6" borderId="15" xfId="0" applyFont="1" applyFill="1" applyBorder="1" applyAlignment="1">
      <alignment horizontal="left" vertical="center" wrapText="1"/>
    </xf>
    <xf numFmtId="0" fontId="36" fillId="12" borderId="55" xfId="0" applyFont="1" applyFill="1" applyBorder="1" applyAlignment="1">
      <alignment horizontal="left" vertical="center" wrapText="1"/>
    </xf>
    <xf numFmtId="0" fontId="36" fillId="12" borderId="56" xfId="0" applyFont="1" applyFill="1" applyBorder="1" applyAlignment="1">
      <alignment horizontal="left" vertical="center" wrapText="1"/>
    </xf>
    <xf numFmtId="0" fontId="41" fillId="6" borderId="35" xfId="0" applyFont="1" applyFill="1" applyBorder="1" applyAlignment="1" applyProtection="1">
      <alignment horizontal="left" vertical="center" wrapText="1"/>
    </xf>
    <xf numFmtId="0" fontId="41" fillId="6" borderId="33" xfId="0" applyFont="1" applyFill="1" applyBorder="1" applyAlignment="1" applyProtection="1">
      <alignment horizontal="left" vertical="center" wrapText="1"/>
    </xf>
    <xf numFmtId="0" fontId="41" fillId="6" borderId="48" xfId="0" applyFont="1" applyFill="1" applyBorder="1" applyAlignment="1" applyProtection="1">
      <alignment horizontal="left" vertical="center" wrapText="1"/>
    </xf>
    <xf numFmtId="0" fontId="41" fillId="6" borderId="34" xfId="0" applyFont="1" applyFill="1" applyBorder="1" applyAlignment="1" applyProtection="1">
      <alignment horizontal="left" vertical="center" wrapText="1"/>
    </xf>
    <xf numFmtId="0" fontId="28" fillId="9" borderId="44" xfId="0" applyFont="1" applyFill="1" applyBorder="1" applyAlignment="1" applyProtection="1">
      <alignment horizontal="center" vertical="center" wrapText="1"/>
    </xf>
    <xf numFmtId="0" fontId="28" fillId="9" borderId="46" xfId="0" applyFont="1" applyFill="1" applyBorder="1" applyAlignment="1" applyProtection="1">
      <alignment horizontal="center" vertical="center" wrapText="1"/>
    </xf>
    <xf numFmtId="164" fontId="41" fillId="6" borderId="44" xfId="0" applyNumberFormat="1" applyFont="1" applyFill="1" applyBorder="1" applyAlignment="1" applyProtection="1">
      <alignment horizontal="center" vertical="center" wrapText="1"/>
    </xf>
    <xf numFmtId="164" fontId="41" fillId="6" borderId="46" xfId="0" applyNumberFormat="1" applyFont="1" applyFill="1" applyBorder="1" applyAlignment="1" applyProtection="1">
      <alignment horizontal="center" vertical="center" wrapText="1"/>
    </xf>
    <xf numFmtId="0" fontId="41" fillId="6" borderId="73" xfId="0" applyFont="1" applyFill="1" applyBorder="1" applyAlignment="1" applyProtection="1">
      <alignment horizontal="left" vertical="center" wrapText="1"/>
    </xf>
    <xf numFmtId="0" fontId="41" fillId="6" borderId="57" xfId="0" applyFont="1" applyFill="1" applyBorder="1" applyAlignment="1" applyProtection="1">
      <alignment horizontal="left" vertical="center" wrapText="1"/>
    </xf>
    <xf numFmtId="164" fontId="41" fillId="6" borderId="38" xfId="0" applyNumberFormat="1" applyFont="1" applyFill="1" applyBorder="1" applyAlignment="1" applyProtection="1">
      <alignment horizontal="center" vertical="center" wrapText="1"/>
    </xf>
    <xf numFmtId="167" fontId="28" fillId="9" borderId="44" xfId="0" applyNumberFormat="1" applyFont="1" applyFill="1" applyBorder="1" applyAlignment="1" applyProtection="1">
      <alignment horizontal="center" vertical="center" wrapText="1"/>
    </xf>
    <xf numFmtId="167" fontId="28" fillId="9" borderId="38" xfId="0" applyNumberFormat="1" applyFont="1" applyFill="1" applyBorder="1" applyAlignment="1" applyProtection="1">
      <alignment horizontal="center" vertical="center" wrapText="1"/>
    </xf>
    <xf numFmtId="167" fontId="28" fillId="9" borderId="46" xfId="0" applyNumberFormat="1" applyFont="1" applyFill="1" applyBorder="1" applyAlignment="1" applyProtection="1">
      <alignment horizontal="center" vertical="center" wrapText="1"/>
    </xf>
    <xf numFmtId="0" fontId="36" fillId="12" borderId="55" xfId="0" applyFont="1" applyFill="1" applyBorder="1" applyAlignment="1" applyProtection="1">
      <alignment horizontal="left" vertical="center" wrapText="1"/>
    </xf>
    <xf numFmtId="0" fontId="36" fillId="12" borderId="56" xfId="0" applyFont="1" applyFill="1" applyBorder="1" applyAlignment="1" applyProtection="1">
      <alignment horizontal="left" vertical="center" wrapText="1"/>
    </xf>
    <xf numFmtId="0" fontId="37" fillId="11" borderId="10" xfId="0" applyFont="1" applyFill="1" applyBorder="1" applyAlignment="1" applyProtection="1">
      <alignment horizontal="center" vertical="center" wrapText="1"/>
    </xf>
    <xf numFmtId="0" fontId="37" fillId="11" borderId="0" xfId="0" applyFont="1" applyFill="1" applyBorder="1" applyAlignment="1" applyProtection="1">
      <alignment horizontal="center" vertical="center" wrapText="1"/>
    </xf>
    <xf numFmtId="0" fontId="0" fillId="0" borderId="27" xfId="0" applyBorder="1" applyAlignment="1" applyProtection="1">
      <alignment horizontal="left" vertical="top" wrapText="1"/>
    </xf>
    <xf numFmtId="0" fontId="0" fillId="0" borderId="0" xfId="0" applyBorder="1" applyAlignment="1" applyProtection="1">
      <alignment horizontal="left" vertical="top" wrapText="1"/>
    </xf>
  </cellXfs>
  <cellStyles count="8">
    <cellStyle name="ColLevel_1" xfId="2" builtinId="2" iLevel="0"/>
    <cellStyle name="Comma" xfId="4" builtinId="3"/>
    <cellStyle name="Dropdown" xfId="6" xr:uid="{00000000-0005-0000-0000-000001000000}"/>
    <cellStyle name="Hyperlink" xfId="7" builtinId="8"/>
    <cellStyle name="Normal" xfId="0" builtinId="0"/>
    <cellStyle name="Percent" xfId="5" builtinId="5"/>
    <cellStyle name="RowLevel_1" xfId="1" builtinId="1" iLevel="0"/>
    <cellStyle name="RowLevel_2" xfId="3" builtinId="1" iLevel="1"/>
  </cellStyles>
  <dxfs count="371">
    <dxf>
      <font>
        <color rgb="FFEA0000"/>
      </font>
    </dxf>
    <dxf>
      <font>
        <color theme="9" tint="-0.24994659260841701"/>
      </font>
    </dxf>
    <dxf>
      <font>
        <color theme="1"/>
      </font>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dxf>
    <dxf>
      <font>
        <color theme="1"/>
      </font>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0" tint="-0.14996795556505021"/>
      </font>
      <fill>
        <patternFill>
          <bgColor theme="0" tint="-0.14996795556505021"/>
        </patternFill>
      </fill>
      <border>
        <top/>
        <bottom/>
        <vertical/>
        <horizontal/>
      </border>
    </dxf>
    <dxf>
      <font>
        <color theme="0" tint="-0.14996795556505021"/>
      </font>
      <fill>
        <patternFill>
          <bgColor theme="0" tint="-0.14996795556505021"/>
        </patternFill>
      </fill>
      <border>
        <top/>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strike val="0"/>
        <color theme="0" tint="-0.14993743705557422"/>
      </font>
      <fill>
        <patternFill>
          <fgColor theme="0" tint="-0.14993743705557422"/>
          <bgColor theme="0" tint="-0.14996795556505021"/>
        </patternFill>
      </fill>
      <border>
        <left/>
        <right/>
        <top/>
        <bottom/>
      </border>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0" tint="-0.14996795556505021"/>
      </font>
      <fill>
        <patternFill>
          <bgColor theme="0" tint="-0.14996795556505021"/>
        </patternFill>
      </fill>
    </dxf>
    <dxf>
      <font>
        <b/>
        <i val="0"/>
      </font>
      <fill>
        <patternFill>
          <bgColor theme="7" tint="0.39994506668294322"/>
        </patternFill>
      </fill>
    </dxf>
    <dxf>
      <font>
        <strike val="0"/>
        <color theme="0" tint="-0.14996795556505021"/>
      </font>
      <fill>
        <patternFill>
          <bgColor theme="0" tint="-0.14996795556505021"/>
        </patternFill>
      </fill>
      <border>
        <left/>
        <right/>
        <top style="thin">
          <color theme="0" tint="-0.34998626667073579"/>
        </top>
        <bottom style="thin">
          <color theme="0" tint="-0.34998626667073579"/>
        </bottom>
        <vertical/>
        <horizontal/>
      </border>
    </dxf>
    <dxf>
      <font>
        <b/>
        <i val="0"/>
      </font>
      <fill>
        <patternFill>
          <bgColor theme="9" tint="0.39994506668294322"/>
        </patternFill>
      </fill>
    </dxf>
    <dxf>
      <font>
        <b/>
        <i val="0"/>
        <color theme="1"/>
      </font>
      <fill>
        <patternFill>
          <bgColor rgb="FFFFCCCC"/>
        </patternFill>
      </fill>
    </dxf>
    <dxf>
      <font>
        <color theme="1"/>
      </font>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1" tint="0.499984740745262"/>
      </font>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font>
      <fill>
        <patternFill>
          <bgColor theme="0" tint="-0.24994659260841701"/>
        </patternFill>
      </fill>
    </dxf>
    <dxf>
      <font>
        <color theme="1" tint="0.499984740745262"/>
      </font>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fgColor theme="0" tint="-0.14993743705557422"/>
          <bgColor theme="0" tint="-0.14996795556505021"/>
        </patternFill>
      </fill>
      <border>
        <left/>
        <right/>
        <top/>
        <bottom/>
      </border>
    </dxf>
    <dxf>
      <font>
        <color theme="0"/>
      </font>
      <fill>
        <patternFill>
          <bgColor theme="0" tint="-0.24994659260841701"/>
        </patternFill>
      </fill>
    </dxf>
    <dxf>
      <font>
        <b/>
      </font>
      <fill>
        <patternFill patternType="none"/>
      </fill>
    </dxf>
    <dxf>
      <font>
        <b/>
        <color rgb="FF2A6F76"/>
      </font>
      <fill>
        <patternFill patternType="none"/>
      </fill>
    </dxf>
    <dxf>
      <font>
        <b/>
      </font>
      <fill>
        <patternFill patternType="none"/>
      </fill>
    </dxf>
    <dxf>
      <font>
        <b/>
        <color rgb="FF2A6F76"/>
      </font>
      <fill>
        <patternFill patternType="none"/>
      </fill>
    </dxf>
    <dxf>
      <fill>
        <patternFill>
          <bgColor theme="0" tint="-0.14996795556505021"/>
        </patternFill>
      </fill>
    </dxf>
    <dxf>
      <font>
        <strike val="0"/>
        <color theme="0" tint="-0.14996795556505021"/>
      </font>
      <fill>
        <patternFill>
          <bgColor theme="0" tint="-0.14996795556505021"/>
        </patternFill>
      </fill>
      <border>
        <left/>
        <right/>
        <top/>
        <bottom/>
        <vertical/>
        <horizontal/>
      </border>
    </dxf>
    <dxf>
      <font>
        <b/>
        <i val="0"/>
      </font>
      <fill>
        <patternFill>
          <bgColor theme="9" tint="0.39994506668294322"/>
        </patternFill>
      </fill>
    </dxf>
    <dxf>
      <font>
        <b/>
        <i val="0"/>
        <color theme="1"/>
      </font>
      <fill>
        <patternFill>
          <bgColor rgb="FFFFCCCC"/>
        </patternFill>
      </fill>
    </dxf>
    <dxf>
      <font>
        <color theme="1"/>
      </font>
      <fill>
        <patternFill>
          <bgColor theme="8" tint="0.79998168889431442"/>
        </patternFill>
      </fill>
    </dxf>
    <dxf>
      <font>
        <b/>
        <i val="0"/>
      </font>
      <fill>
        <patternFill>
          <bgColor theme="9" tint="0.39994506668294322"/>
        </patternFill>
      </fill>
    </dxf>
    <dxf>
      <font>
        <b/>
        <i val="0"/>
        <color theme="1"/>
      </font>
      <fill>
        <patternFill>
          <bgColor rgb="FFFFCCCC"/>
        </patternFill>
      </fill>
    </dxf>
    <dxf>
      <fill>
        <patternFill>
          <bgColor theme="0"/>
        </patternFill>
      </fill>
    </dxf>
    <dxf>
      <font>
        <strike val="0"/>
        <color auto="1"/>
      </font>
      <fill>
        <patternFill>
          <bgColor theme="8" tint="0.79998168889431442"/>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strike val="0"/>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3743705557422"/>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strike val="0"/>
        <color theme="1"/>
      </font>
      <fill>
        <patternFill>
          <bgColor theme="0" tint="-0.14996795556505021"/>
        </patternFill>
      </fill>
      <border>
        <left/>
        <right/>
        <top/>
        <bottom/>
        <vertical/>
        <horizontal/>
      </border>
    </dxf>
    <dxf>
      <font>
        <b/>
        <i val="0"/>
      </font>
      <fill>
        <patternFill>
          <bgColor theme="9" tint="0.39994506668294322"/>
        </patternFill>
      </fill>
    </dxf>
    <dxf>
      <font>
        <b/>
        <i val="0"/>
        <color theme="1"/>
      </font>
      <fill>
        <patternFill>
          <bgColor rgb="FFFFCCCC"/>
        </patternFill>
      </fill>
    </dxf>
    <dxf>
      <font>
        <b/>
        <i val="0"/>
      </font>
      <fill>
        <patternFill>
          <bgColor theme="9" tint="0.39994506668294322"/>
        </patternFill>
      </fill>
    </dxf>
    <dxf>
      <font>
        <b/>
        <i val="0"/>
        <color theme="1"/>
      </font>
      <fill>
        <patternFill>
          <bgColor rgb="FFFFCCCC"/>
        </patternFill>
      </fill>
    </dxf>
    <dxf>
      <font>
        <strike val="0"/>
        <color theme="0" tint="-0.14996795556505021"/>
      </font>
      <fill>
        <patternFill>
          <bgColor theme="0" tint="-0.14996795556505021"/>
        </patternFill>
      </fill>
      <border>
        <left/>
        <right/>
        <top/>
        <bottom/>
        <vertical/>
        <horizontal/>
      </border>
    </dxf>
    <dxf>
      <font>
        <strike val="0"/>
        <color theme="0" tint="-0.14993743705557422"/>
      </font>
      <fill>
        <patternFill>
          <bgColor theme="0" tint="-0.14996795556505021"/>
        </patternFill>
      </fill>
      <border>
        <left/>
        <right/>
        <top/>
        <bottom/>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3743705557422"/>
      </font>
      <fill>
        <patternFill>
          <bgColor theme="0" tint="-0.14996795556505021"/>
        </patternFill>
      </fill>
      <border>
        <left/>
        <right/>
        <top/>
        <bottom/>
      </border>
    </dxf>
    <dxf>
      <font>
        <strike val="0"/>
        <color theme="0" tint="-0.14996795556505021"/>
      </font>
      <fill>
        <patternFill>
          <bgColor theme="0" tint="-0.14996795556505021"/>
        </patternFill>
      </fill>
      <border>
        <left/>
        <right/>
        <top/>
        <bottom/>
        <vertical/>
        <horizontal/>
      </border>
    </dxf>
    <dxf>
      <font>
        <color theme="1"/>
      </font>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color theme="1"/>
      </font>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color theme="1"/>
      </font>
      <fill>
        <patternFill>
          <bgColor theme="0" tint="-0.14996795556505021"/>
        </patternFill>
      </fill>
    </dxf>
    <dxf>
      <font>
        <b/>
        <i val="0"/>
        <color theme="1"/>
      </font>
      <fill>
        <patternFill>
          <bgColor rgb="FFFFCCCC"/>
        </patternFill>
      </fill>
    </dxf>
    <dxf>
      <font>
        <b/>
        <i val="0"/>
      </font>
      <fill>
        <patternFill>
          <bgColor theme="9" tint="0.39994506668294322"/>
        </patternFill>
      </fill>
    </dxf>
    <dxf>
      <font>
        <b/>
        <i val="0"/>
        <color theme="0"/>
      </font>
      <fill>
        <patternFill>
          <bgColor theme="4"/>
        </patternFill>
      </fill>
    </dxf>
    <dxf>
      <font>
        <b/>
        <i val="0"/>
        <color theme="0"/>
      </font>
      <fill>
        <patternFill>
          <bgColor theme="4"/>
        </patternFill>
      </fill>
    </dxf>
    <dxf>
      <font>
        <b/>
        <i val="0"/>
        <color theme="0"/>
      </font>
      <fill>
        <patternFill>
          <bgColor theme="4"/>
        </patternFill>
      </fill>
    </dxf>
    <dxf>
      <font>
        <b/>
        <i val="0"/>
        <color theme="0"/>
      </font>
      <fill>
        <patternFill>
          <bgColor theme="4"/>
        </patternFill>
      </fill>
    </dxf>
    <dxf>
      <font>
        <b/>
        <i val="0"/>
        <color theme="0"/>
      </font>
      <fill>
        <patternFill>
          <bgColor theme="4"/>
        </patternFill>
      </fill>
    </dxf>
    <dxf>
      <font>
        <b/>
        <i val="0"/>
        <color theme="0"/>
      </font>
      <fill>
        <patternFill>
          <bgColor theme="4"/>
        </patternFill>
      </fill>
    </dxf>
    <dxf>
      <font>
        <b/>
        <i val="0"/>
        <color theme="0"/>
      </font>
      <fill>
        <patternFill>
          <bgColor theme="4"/>
        </patternFill>
      </fill>
    </dxf>
    <dxf>
      <font>
        <color theme="1"/>
      </font>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color theme="1"/>
      </font>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0" tint="-0.14996795556505021"/>
      </font>
      <fill>
        <patternFill>
          <bgColor theme="0" tint="-0.14996795556505021"/>
        </patternFill>
      </fill>
      <border>
        <left/>
        <right/>
        <top/>
        <bottom/>
        <vertical/>
        <horizontal/>
      </border>
    </dxf>
    <dxf>
      <font>
        <color theme="1"/>
      </font>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color theme="1"/>
      </font>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0" tint="-0.14996795556505021"/>
      </font>
      <fill>
        <patternFill>
          <bgColor theme="0" tint="-0.14996795556505021"/>
        </patternFill>
      </fill>
      <border>
        <left/>
        <right/>
        <top/>
        <bottom/>
        <vertical/>
        <horizontal/>
      </border>
    </dxf>
    <dxf>
      <font>
        <color theme="1"/>
      </font>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color theme="1"/>
      </font>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color theme="1"/>
      </font>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color theme="1"/>
      </font>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1"/>
      </font>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3743705557422"/>
      </font>
      <fill>
        <patternFill>
          <bgColor theme="0" tint="-0.14996795556505021"/>
        </patternFill>
      </fill>
      <border>
        <left/>
        <right/>
        <top/>
        <bottom/>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3743705557422"/>
      </font>
      <fill>
        <patternFill>
          <bgColor theme="0" tint="-0.14996795556505021"/>
        </patternFill>
      </fill>
      <border>
        <left/>
        <right/>
        <top/>
        <bottom/>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3743705557422"/>
      </font>
      <fill>
        <patternFill>
          <bgColor theme="0" tint="-0.14996795556505021"/>
        </patternFill>
      </fill>
      <border>
        <left/>
        <right/>
        <top/>
        <bottom/>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border>
    </dxf>
    <dxf>
      <font>
        <color theme="0"/>
      </font>
      <fill>
        <patternFill>
          <bgColor theme="0" tint="-0.24994659260841701"/>
        </patternFill>
      </fill>
    </dxf>
    <dxf>
      <font>
        <color theme="0"/>
      </font>
      <fill>
        <patternFill>
          <bgColor theme="0" tint="-0.24994659260841701"/>
        </patternFill>
      </fill>
    </dxf>
    <dxf>
      <font>
        <color theme="0" tint="-0.14996795556505021"/>
      </font>
      <fill>
        <patternFill>
          <bgColor theme="0" tint="-0.14996795556505021"/>
        </patternFill>
      </fill>
      <border>
        <left/>
        <right/>
        <top/>
        <bottom/>
        <vertical/>
        <horizontal/>
      </border>
    </dxf>
    <dxf>
      <font>
        <color theme="1" tint="0.34998626667073579"/>
      </font>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color theme="0"/>
      </font>
      <fill>
        <patternFill>
          <bgColor theme="0" tint="-0.24994659260841701"/>
        </patternFill>
      </fill>
    </dxf>
    <dxf>
      <font>
        <color theme="0"/>
      </font>
      <fill>
        <patternFill>
          <bgColor theme="0" tint="-0.24994659260841701"/>
        </patternFill>
      </fill>
    </dxf>
    <dxf>
      <font>
        <color theme="0"/>
      </font>
      <fill>
        <patternFill>
          <bgColor theme="0" tint="-0.24994659260841701"/>
        </patternFill>
      </fill>
    </dxf>
    <dxf>
      <font>
        <color theme="0" tint="-0.14996795556505021"/>
      </font>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style="thin">
          <color theme="0" tint="-0.14996795556505021"/>
        </left>
        <right style="thin">
          <color theme="0" tint="-0.14996795556505021"/>
        </right>
      </border>
    </dxf>
    <dxf>
      <font>
        <color theme="0" tint="-0.14996795556505021"/>
      </font>
      <fill>
        <patternFill>
          <bgColor theme="0" tint="-0.14996795556505021"/>
        </patternFill>
      </fill>
      <border>
        <left style="thin">
          <color theme="0" tint="-0.14996795556505021"/>
        </left>
        <right style="thin">
          <color theme="0" tint="-0.14996795556505021"/>
        </right>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style="thin">
          <color theme="0" tint="-0.14996795556505021"/>
        </left>
        <right style="thin">
          <color theme="0" tint="-0.14996795556505021"/>
        </right>
        <bottom style="thin">
          <color theme="0" tint="-0.14993743705557422"/>
        </bottom>
        <vertical/>
        <horizontal/>
      </border>
    </dxf>
    <dxf>
      <font>
        <color theme="0" tint="-0.14996795556505021"/>
      </font>
      <fill>
        <patternFill>
          <bgColor theme="0" tint="-0.14996795556505021"/>
        </patternFill>
      </fill>
      <border>
        <left style="thin">
          <color theme="0" tint="-0.14996795556505021"/>
        </left>
        <right style="thin">
          <color theme="0" tint="-0.14996795556505021"/>
        </right>
        <bottom style="thin">
          <color theme="0" tint="-0.14993743705557422"/>
        </bottom>
        <vertical/>
        <horizontal/>
      </border>
    </dxf>
    <dxf>
      <font>
        <color theme="0" tint="-0.14996795556505021"/>
      </font>
      <fill>
        <patternFill>
          <bgColor theme="0" tint="-0.14996795556505021"/>
        </patternFill>
      </fill>
      <border>
        <left style="thin">
          <color theme="0" tint="-0.14996795556505021"/>
        </left>
        <right style="thin">
          <color theme="0" tint="-0.14996795556505021"/>
        </right>
        <bottom style="thin">
          <color theme="0" tint="-0.14993743705557422"/>
        </bottom>
        <vertical/>
        <horizontal/>
      </border>
    </dxf>
    <dxf>
      <fill>
        <patternFill>
          <bgColor theme="8" tint="0.79998168889431442"/>
        </patternFill>
      </fill>
    </dxf>
    <dxf>
      <font>
        <color theme="0" tint="-0.14996795556505021"/>
      </font>
      <fill>
        <patternFill>
          <bgColor theme="0" tint="-0.14996795556505021"/>
        </patternFill>
      </fill>
      <border>
        <left/>
        <right/>
        <vertical/>
        <horizontal/>
      </border>
    </dxf>
    <dxf>
      <font>
        <color theme="0" tint="-0.14996795556505021"/>
      </font>
      <fill>
        <patternFill>
          <bgColor theme="0" tint="-0.14996795556505021"/>
        </patternFill>
      </fill>
      <border>
        <left style="thin">
          <color theme="0" tint="-0.14996795556505021"/>
        </left>
        <right style="thin">
          <color theme="0" tint="-0.14996795556505021"/>
        </right>
        <vertical/>
        <horizontal/>
      </border>
    </dxf>
    <dxf>
      <font>
        <color theme="0" tint="-0.14996795556505021"/>
      </font>
      <fill>
        <patternFill>
          <bgColor theme="0" tint="-0.14996795556505021"/>
        </patternFill>
      </fill>
      <border>
        <left style="thin">
          <color theme="0" tint="-0.14996795556505021"/>
        </left>
        <right style="thin">
          <color theme="0" tint="-0.14996795556505021"/>
        </right>
        <vertical/>
        <horizontal/>
      </border>
    </dxf>
    <dxf>
      <font>
        <color theme="0" tint="-0.14996795556505021"/>
      </font>
      <fill>
        <patternFill>
          <bgColor theme="0" tint="-0.14996795556505021"/>
        </patternFill>
      </fill>
      <border>
        <left style="thin">
          <color theme="0" tint="-0.14996795556505021"/>
        </left>
        <right/>
      </border>
    </dxf>
    <dxf>
      <font>
        <color theme="0" tint="-0.14996795556505021"/>
      </font>
      <fill>
        <patternFill>
          <bgColor theme="0" tint="-0.14996795556505021"/>
        </patternFill>
      </fill>
      <border>
        <left style="thin">
          <color theme="0" tint="-0.14996795556505021"/>
        </left>
        <right style="thin">
          <color theme="0" tint="-0.14996795556505021"/>
        </right>
        <vertical/>
        <horizontal/>
      </border>
    </dxf>
    <dxf>
      <font>
        <color theme="0" tint="-0.14996795556505021"/>
      </font>
      <fill>
        <patternFill>
          <bgColor theme="0" tint="-0.14996795556505021"/>
        </patternFill>
      </fill>
      <border>
        <left style="thin">
          <color theme="0" tint="-0.14996795556505021"/>
        </left>
        <right style="thin">
          <color theme="0" tint="-0.14996795556505021"/>
        </right>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vertical/>
        <horizontal/>
      </border>
    </dxf>
    <dxf>
      <font>
        <color theme="0" tint="-0.14996795556505021"/>
      </font>
      <fill>
        <patternFill>
          <bgColor theme="0" tint="-0.14996795556505021"/>
        </patternFill>
      </fill>
      <border>
        <left/>
        <right/>
        <vertical/>
        <horizontal/>
      </border>
    </dxf>
    <dxf>
      <font>
        <color theme="0" tint="-0.14996795556505021"/>
      </font>
      <fill>
        <patternFill>
          <bgColor theme="0" tint="-0.14996795556505021"/>
        </patternFill>
      </fill>
      <border>
        <left/>
        <right/>
        <vertical/>
        <horizontal/>
      </border>
    </dxf>
    <dxf>
      <font>
        <color theme="0" tint="-0.14996795556505021"/>
      </font>
      <fill>
        <patternFill>
          <bgColor theme="0" tint="-0.14996795556505021"/>
        </patternFill>
      </fill>
      <border>
        <left/>
        <right/>
        <vertical/>
        <horizontal/>
      </border>
    </dxf>
    <dxf>
      <font>
        <color theme="0" tint="-0.14996795556505021"/>
      </font>
      <fill>
        <patternFill>
          <bgColor theme="0" tint="-0.14996795556505021"/>
        </patternFill>
      </fill>
      <border>
        <left/>
        <right/>
        <vertical/>
        <horizontal/>
      </border>
    </dxf>
    <dxf>
      <font>
        <color theme="0" tint="-0.14996795556505021"/>
      </font>
      <fill>
        <patternFill>
          <bgColor theme="0" tint="-0.14996795556505021"/>
        </patternFill>
      </fill>
      <border>
        <left/>
        <right/>
        <vertical/>
        <horizontal/>
      </border>
    </dxf>
    <dxf>
      <font>
        <color theme="0" tint="-0.14996795556505021"/>
      </font>
      <fill>
        <patternFill>
          <bgColor theme="0" tint="-0.14996795556505021"/>
        </patternFill>
      </fill>
      <border>
        <left/>
        <right/>
        <vertical/>
        <horizontal/>
      </border>
    </dxf>
    <dxf>
      <font>
        <color theme="0" tint="-0.14996795556505021"/>
      </font>
    </dxf>
    <dxf>
      <font>
        <color theme="0"/>
      </font>
      <fill>
        <patternFill patternType="none">
          <bgColor auto="1"/>
        </patternFill>
      </fill>
      <border>
        <left/>
        <right/>
        <bottom/>
        <vertical/>
        <horizontal/>
      </border>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font>
        <b val="0"/>
        <i val="0"/>
        <strike val="0"/>
        <condense val="0"/>
        <extend val="0"/>
        <outline val="0"/>
        <shadow val="0"/>
        <u val="none"/>
        <vertAlign val="baseline"/>
        <sz val="11"/>
        <color theme="1"/>
        <name val="Calibri"/>
        <family val="2"/>
        <scheme val="minor"/>
      </font>
      <protection locked="1" hidden="0"/>
    </dxf>
    <dxf>
      <font>
        <b val="0"/>
        <i val="0"/>
        <strike val="0"/>
        <condense val="0"/>
        <extend val="0"/>
        <outline val="0"/>
        <shadow val="0"/>
        <u val="none"/>
        <vertAlign val="baseline"/>
        <sz val="11"/>
        <color theme="1"/>
        <name val="Calibri"/>
        <family val="2"/>
        <scheme val="minor"/>
      </font>
      <protection locked="1" hidden="0"/>
    </dxf>
    <dxf>
      <border outline="0">
        <top style="thin">
          <color indexed="64"/>
        </top>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1"/>
        <color auto="1"/>
        <name val="Calibri"/>
        <family val="2"/>
        <scheme val="minor"/>
      </font>
      <border diagonalUp="0" diagonalDown="0">
        <left style="thin">
          <color theme="1" tint="0.499984740745262"/>
        </left>
        <right/>
        <top/>
        <bottom style="thin">
          <color theme="1" tint="0.499984740745262"/>
        </bottom>
        <vertical/>
        <horizontal/>
      </border>
      <protection locked="1" hidden="0"/>
    </dxf>
    <dxf>
      <protection locked="1" hidden="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protection locked="1" hidden="0"/>
    </dxf>
    <dxf>
      <font>
        <b val="0"/>
        <i val="0"/>
        <strike val="0"/>
        <condense val="0"/>
        <extend val="0"/>
        <outline val="0"/>
        <shadow val="0"/>
        <u val="none"/>
        <vertAlign val="baseline"/>
        <sz val="11"/>
        <color theme="1"/>
        <name val="Calibri"/>
        <family val="2"/>
        <scheme val="minor"/>
      </font>
      <numFmt numFmtId="165" formatCode="_(* #,##0_);_(* \(#,##0\);_(* &quot;-&quot;??_);_(@_)"/>
      <border diagonalUp="0" diagonalDown="0">
        <left style="thin">
          <color theme="1" tint="0.499984740745262"/>
        </left>
        <right style="thin">
          <color theme="1" tint="0.499984740745262"/>
        </right>
        <top style="thin">
          <color theme="1" tint="0.499984740745262"/>
        </top>
        <bottom style="thin">
          <color theme="1" tint="0.499984740745262"/>
        </bottom>
      </border>
      <protection locked="1" hidden="0"/>
    </dxf>
    <dxf>
      <font>
        <b/>
      </font>
      <fill>
        <patternFill patternType="solid">
          <fgColor indexed="64"/>
          <bgColor theme="4" tint="0.39997558519241921"/>
        </patternFill>
      </fill>
      <border diagonalUp="0" diagonalDown="0">
        <left style="thin">
          <color theme="1" tint="0.499984740745262"/>
        </left>
        <right style="thin">
          <color theme="1" tint="0.499984740745262"/>
        </right>
        <top style="thin">
          <color theme="1" tint="0.499984740745262"/>
        </top>
        <bottom style="thin">
          <color theme="1" tint="0.499984740745262"/>
        </bottom>
      </border>
      <protection locked="1" hidden="0"/>
    </dxf>
    <dxf>
      <border outline="0">
        <top style="thin">
          <color theme="1" tint="0.499984740745262"/>
        </top>
      </border>
    </dxf>
    <dxf>
      <border outline="0">
        <top style="thin">
          <color theme="4" tint="0.39997558519241921"/>
        </top>
        <bottom style="thin">
          <color theme="1" tint="0.499984740745262"/>
        </bottom>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protection locked="1" hidden="0"/>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protection locked="1" hidden="0"/>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numFmt numFmtId="164" formatCode="yyyy\-mm\-dd;@"/>
      <protection locked="1" hidden="0"/>
    </dxf>
    <dxf>
      <numFmt numFmtId="164" formatCode="yyyy\-mm\-dd;@"/>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border outline="0">
        <bottom style="thin">
          <color indexed="64"/>
        </bottom>
      </border>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protection locked="1" hidden="0"/>
    </dxf>
    <dxf>
      <border outline="0">
        <bottom style="thin">
          <color theme="4" tint="0.39997558519241921"/>
        </bottom>
      </border>
    </dxf>
    <dxf>
      <font>
        <b val="0"/>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border diagonalUp="0" diagonalDown="0">
        <left/>
        <right/>
        <top style="thin">
          <color theme="4" tint="0.39997558519241921"/>
        </top>
        <bottom/>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auto="1"/>
        <name val="Calibri"/>
        <scheme val="none"/>
      </font>
      <numFmt numFmtId="30" formatCode="@"/>
      <fill>
        <patternFill patternType="none">
          <fgColor indexed="64"/>
          <bgColor indexed="65"/>
        </patternFill>
      </fill>
      <alignment horizontal="left" vertical="bottom" textRotation="0" wrapText="0" indent="0" justifyLastLine="0" shrinkToFit="0" readingOrder="0"/>
      <protection locked="1" hidden="0"/>
    </dxf>
    <dxf>
      <font>
        <b/>
        <i val="0"/>
        <strike val="0"/>
        <condense val="0"/>
        <extend val="0"/>
        <outline val="0"/>
        <shadow val="0"/>
        <u val="none"/>
        <vertAlign val="baseline"/>
        <sz val="11"/>
        <color auto="1"/>
        <name val="Calibri"/>
        <scheme val="none"/>
      </font>
      <fill>
        <patternFill patternType="none">
          <fgColor indexed="64"/>
          <bgColor indexed="65"/>
        </patternFill>
      </fill>
      <alignment horizontal="left" vertical="bottom" textRotation="0" wrapText="0" indent="0" justifyLastLine="0" shrinkToFit="0" readingOrder="0"/>
      <protection locked="1" hidden="0"/>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general" vertical="bottom" textRotation="0" wrapText="1" indent="0" justifyLastLine="0" shrinkToFit="0" readingOrder="0"/>
      <protection locked="1" hidden="0"/>
    </dxf>
    <dxf>
      <protection locked="1" hidden="0"/>
    </dxf>
    <dxf>
      <border outline="0">
        <top style="thin">
          <color indexed="64"/>
        </top>
        <bottom style="thin">
          <color theme="4" tint="0.39997558519241921"/>
        </bottom>
      </border>
    </dxf>
    <dxf>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auto="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auto="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protection locked="1" hidden="0"/>
    </dxf>
    <dxf>
      <border outline="0">
        <top style="thin">
          <color indexed="64"/>
        </top>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protection locked="1" hidden="0"/>
    </dxf>
    <dxf>
      <border outline="0">
        <top style="thin">
          <color indexed="64"/>
        </top>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protection locked="1" hidden="0"/>
    </dxf>
    <dxf>
      <font>
        <b/>
      </font>
      <protection locked="1" hidden="0"/>
    </dxf>
    <dxf>
      <font>
        <b/>
        <i val="0"/>
        <strike val="0"/>
        <condense val="0"/>
        <extend val="0"/>
        <outline val="0"/>
        <shadow val="0"/>
        <u val="none"/>
        <vertAlign val="baseline"/>
        <sz val="11"/>
        <color theme="1"/>
        <name val="Calibri"/>
        <family val="2"/>
        <scheme val="minor"/>
      </font>
      <protection locked="1" hidden="0"/>
    </dxf>
    <dxf>
      <font>
        <b/>
        <i val="0"/>
        <strike val="0"/>
        <condense val="0"/>
        <extend val="0"/>
        <outline val="0"/>
        <shadow val="0"/>
        <u val="none"/>
        <vertAlign val="baseline"/>
        <sz val="11"/>
        <color theme="1"/>
        <name val="Calibri"/>
        <family val="2"/>
        <scheme val="minor"/>
      </font>
      <protection locked="1" hidden="0"/>
    </dxf>
    <dxf>
      <font>
        <b/>
      </font>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fill>
        <patternFill patternType="none">
          <fgColor indexed="64"/>
          <bgColor auto="1"/>
        </patternFill>
      </fill>
      <alignment horizontal="general" vertical="bottom" textRotation="0" wrapText="1" indent="0" justifyLastLine="0" shrinkToFit="0" readingOrder="0"/>
      <protection locked="1" hidden="0"/>
    </dxf>
    <dxf>
      <protection locked="1" hidden="0"/>
    </dxf>
    <dxf>
      <border outline="0">
        <top style="thin">
          <color indexed="64"/>
        </top>
      </border>
    </dxf>
    <dxf>
      <protection locked="1" hidden="0"/>
    </dxf>
    <dxf>
      <border outline="0">
        <bottom style="thin">
          <color indexed="64"/>
        </bottom>
      </border>
    </dxf>
    <dxf>
      <font>
        <b/>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border outline="0">
        <top style="thin">
          <color indexed="64"/>
        </top>
      </border>
    </dxf>
    <dxf>
      <font>
        <b/>
        <i val="0"/>
        <strike val="0"/>
        <condense val="0"/>
        <extend val="0"/>
        <outline val="0"/>
        <shadow val="0"/>
        <u val="none"/>
        <vertAlign val="baseline"/>
        <sz val="11"/>
        <color theme="1"/>
        <name val="Calibri"/>
        <scheme val="minor"/>
      </font>
      <protection locked="1" hidden="0"/>
    </dxf>
    <dxf>
      <border outline="0">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s>
  <tableStyles count="0" defaultTableStyle="TableStyleMedium2" defaultPivotStyle="PivotStyleLight16"/>
  <colors>
    <mruColors>
      <color rgb="FFDDEBF7"/>
      <color rgb="FFFFFFFF"/>
      <color rgb="FFEA0000"/>
      <color rgb="FF7E0000"/>
      <color rgb="FFFF99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43962</xdr:colOff>
      <xdr:row>1</xdr:row>
      <xdr:rowOff>87923</xdr:rowOff>
    </xdr:from>
    <xdr:to>
      <xdr:col>2</xdr:col>
      <xdr:colOff>1011608</xdr:colOff>
      <xdr:row>2</xdr:row>
      <xdr:rowOff>127977</xdr:rowOff>
    </xdr:to>
    <xdr:pic>
      <xdr:nvPicPr>
        <xdr:cNvPr id="2" name="Picture 1">
          <a:extLst>
            <a:ext uri="{FF2B5EF4-FFF2-40B4-BE49-F238E27FC236}">
              <a16:creationId xmlns:a16="http://schemas.microsoft.com/office/drawing/2014/main" id="{6A092294-E93A-4513-94A6-2F614FC33275}"/>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95250" y="146538"/>
          <a:ext cx="1018935" cy="428381"/>
        </a:xfrm>
        <a:prstGeom prst="rect">
          <a:avLst/>
        </a:prstGeom>
        <a:solidFill>
          <a:schemeClr val="accent1"/>
        </a:solidFill>
        <a:ln>
          <a:noFill/>
        </a:ln>
      </xdr:spPr>
    </xdr:pic>
    <xdr:clientData/>
  </xdr:twoCellAnchor>
  <xdr:twoCellAnchor editAs="oneCell">
    <xdr:from>
      <xdr:col>5</xdr:col>
      <xdr:colOff>1</xdr:colOff>
      <xdr:row>18</xdr:row>
      <xdr:rowOff>1</xdr:rowOff>
    </xdr:from>
    <xdr:to>
      <xdr:col>5</xdr:col>
      <xdr:colOff>131800</xdr:colOff>
      <xdr:row>18</xdr:row>
      <xdr:rowOff>126086</xdr:rowOff>
    </xdr:to>
    <xdr:pic>
      <xdr:nvPicPr>
        <xdr:cNvPr id="3" name="Picture 2">
          <a:extLst>
            <a:ext uri="{FF2B5EF4-FFF2-40B4-BE49-F238E27FC236}">
              <a16:creationId xmlns:a16="http://schemas.microsoft.com/office/drawing/2014/main" id="{5419402B-CDAA-4DFE-BB4D-75158E19DBF0}"/>
            </a:ext>
          </a:extLst>
        </xdr:cNvPr>
        <xdr:cNvPicPr>
          <a:picLocks noChangeAspect="1"/>
        </xdr:cNvPicPr>
      </xdr:nvPicPr>
      <xdr:blipFill rotWithShape="1">
        <a:blip xmlns:r="http://schemas.openxmlformats.org/officeDocument/2006/relationships" r:embed="rId3"/>
        <a:srcRect l="5761" t="31825" r="20988" b="10147"/>
        <a:stretch/>
      </xdr:blipFill>
      <xdr:spPr>
        <a:xfrm>
          <a:off x="5742215" y="5535387"/>
          <a:ext cx="131799" cy="126085"/>
        </a:xfrm>
        <a:prstGeom prst="rect">
          <a:avLst/>
        </a:prstGeom>
      </xdr:spPr>
    </xdr:pic>
    <xdr:clientData/>
  </xdr:twoCellAnchor>
  <xdr:twoCellAnchor editAs="oneCell">
    <xdr:from>
      <xdr:col>5</xdr:col>
      <xdr:colOff>1</xdr:colOff>
      <xdr:row>19</xdr:row>
      <xdr:rowOff>189157</xdr:rowOff>
    </xdr:from>
    <xdr:to>
      <xdr:col>5</xdr:col>
      <xdr:colOff>131800</xdr:colOff>
      <xdr:row>20</xdr:row>
      <xdr:rowOff>130457</xdr:rowOff>
    </xdr:to>
    <xdr:pic>
      <xdr:nvPicPr>
        <xdr:cNvPr id="4" name="Picture 3">
          <a:extLst>
            <a:ext uri="{FF2B5EF4-FFF2-40B4-BE49-F238E27FC236}">
              <a16:creationId xmlns:a16="http://schemas.microsoft.com/office/drawing/2014/main" id="{0F5E87E2-719E-4852-A02E-E7B917FFA32B}"/>
            </a:ext>
          </a:extLst>
        </xdr:cNvPr>
        <xdr:cNvPicPr>
          <a:picLocks noChangeAspect="1"/>
        </xdr:cNvPicPr>
      </xdr:nvPicPr>
      <xdr:blipFill rotWithShape="1">
        <a:blip xmlns:r="http://schemas.openxmlformats.org/officeDocument/2006/relationships" r:embed="rId3"/>
        <a:srcRect l="5761" t="31825" r="20988" b="10147"/>
        <a:stretch/>
      </xdr:blipFill>
      <xdr:spPr>
        <a:xfrm>
          <a:off x="5742215" y="5915043"/>
          <a:ext cx="131799" cy="1318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47625</xdr:colOff>
      <xdr:row>1</xdr:row>
      <xdr:rowOff>57150</xdr:rowOff>
    </xdr:from>
    <xdr:to>
      <xdr:col>2</xdr:col>
      <xdr:colOff>977171</xdr:colOff>
      <xdr:row>2</xdr:row>
      <xdr:rowOff>66675</xdr:rowOff>
    </xdr:to>
    <xdr:pic>
      <xdr:nvPicPr>
        <xdr:cNvPr id="2" name="Picture 1">
          <a:extLst>
            <a:ext uri="{FF2B5EF4-FFF2-40B4-BE49-F238E27FC236}">
              <a16:creationId xmlns:a16="http://schemas.microsoft.com/office/drawing/2014/main" id="{F652EB32-33C7-49DA-A24A-3A67469DAB44}"/>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06680" y="110490"/>
          <a:ext cx="980981" cy="401955"/>
        </a:xfrm>
        <a:prstGeom prst="rect">
          <a:avLst/>
        </a:prstGeom>
        <a:solidFill>
          <a:schemeClr val="accent1"/>
        </a:solid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29308</xdr:colOff>
      <xdr:row>1</xdr:row>
      <xdr:rowOff>43962</xdr:rowOff>
    </xdr:from>
    <xdr:to>
      <xdr:col>2</xdr:col>
      <xdr:colOff>995488</xdr:colOff>
      <xdr:row>2</xdr:row>
      <xdr:rowOff>86214</xdr:rowOff>
    </xdr:to>
    <xdr:pic>
      <xdr:nvPicPr>
        <xdr:cNvPr id="63" name="Picture 62" hidden="1">
          <a:extLst>
            <a:ext uri="{FF2B5EF4-FFF2-40B4-BE49-F238E27FC236}">
              <a16:creationId xmlns:a16="http://schemas.microsoft.com/office/drawing/2014/main" id="{00000000-0008-0000-0100-00003F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7923" y="102577"/>
          <a:ext cx="1024796" cy="430579"/>
        </a:xfrm>
        <a:prstGeom prst="rect">
          <a:avLst/>
        </a:prstGeom>
        <a:solidFill>
          <a:schemeClr val="accent1"/>
        </a:solidFill>
        <a:ln>
          <a:noFill/>
        </a:ln>
      </xdr:spPr>
    </xdr:pic>
    <xdr:clientData/>
  </xdr:twoCellAnchor>
  <xdr:twoCellAnchor>
    <xdr:from>
      <xdr:col>2</xdr:col>
      <xdr:colOff>16566</xdr:colOff>
      <xdr:row>1</xdr:row>
      <xdr:rowOff>82826</xdr:rowOff>
    </xdr:from>
    <xdr:to>
      <xdr:col>2</xdr:col>
      <xdr:colOff>1030195</xdr:colOff>
      <xdr:row>2</xdr:row>
      <xdr:rowOff>121166</xdr:rowOff>
    </xdr:to>
    <xdr:pic>
      <xdr:nvPicPr>
        <xdr:cNvPr id="2" name="Picture 1">
          <a:extLst>
            <a:ext uri="{FF2B5EF4-FFF2-40B4-BE49-F238E27FC236}">
              <a16:creationId xmlns:a16="http://schemas.microsoft.com/office/drawing/2014/main" id="{51F358F5-C048-49D5-8E41-172DC294EAF1}"/>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15957" y="140804"/>
          <a:ext cx="1013629" cy="427623"/>
        </a:xfrm>
        <a:prstGeom prst="rect">
          <a:avLst/>
        </a:prstGeom>
        <a:solidFill>
          <a:schemeClr val="accent1"/>
        </a:solid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29308</xdr:colOff>
      <xdr:row>1</xdr:row>
      <xdr:rowOff>36635</xdr:rowOff>
    </xdr:from>
    <xdr:to>
      <xdr:col>2</xdr:col>
      <xdr:colOff>995488</xdr:colOff>
      <xdr:row>2</xdr:row>
      <xdr:rowOff>78887</xdr:rowOff>
    </xdr:to>
    <xdr:pic>
      <xdr:nvPicPr>
        <xdr:cNvPr id="114" name="Picture 113" hidden="1">
          <a:extLst>
            <a:ext uri="{FF2B5EF4-FFF2-40B4-BE49-F238E27FC236}">
              <a16:creationId xmlns:a16="http://schemas.microsoft.com/office/drawing/2014/main" id="{00000000-0008-0000-0200-000072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7286" y="111178"/>
          <a:ext cx="1024159" cy="431535"/>
        </a:xfrm>
        <a:prstGeom prst="rect">
          <a:avLst/>
        </a:prstGeom>
        <a:solidFill>
          <a:schemeClr val="accent1"/>
        </a:solidFill>
        <a:ln>
          <a:noFill/>
        </a:ln>
      </xdr:spPr>
    </xdr:pic>
    <xdr:clientData/>
  </xdr:twoCellAnchor>
  <xdr:twoCellAnchor>
    <xdr:from>
      <xdr:col>1</xdr:col>
      <xdr:colOff>33130</xdr:colOff>
      <xdr:row>1</xdr:row>
      <xdr:rowOff>49696</xdr:rowOff>
    </xdr:from>
    <xdr:to>
      <xdr:col>2</xdr:col>
      <xdr:colOff>997064</xdr:colOff>
      <xdr:row>2</xdr:row>
      <xdr:rowOff>88036</xdr:rowOff>
    </xdr:to>
    <xdr:pic>
      <xdr:nvPicPr>
        <xdr:cNvPr id="2" name="Picture 1">
          <a:extLst>
            <a:ext uri="{FF2B5EF4-FFF2-40B4-BE49-F238E27FC236}">
              <a16:creationId xmlns:a16="http://schemas.microsoft.com/office/drawing/2014/main" id="{50B8CEA9-F10A-4FD5-A433-C0E2D3DCEEAD}"/>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2826" y="124239"/>
          <a:ext cx="1013629" cy="427623"/>
        </a:xfrm>
        <a:prstGeom prst="rect">
          <a:avLst/>
        </a:prstGeom>
        <a:solidFill>
          <a:schemeClr val="accent1"/>
        </a:solid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38833</xdr:colOff>
      <xdr:row>1</xdr:row>
      <xdr:rowOff>55686</xdr:rowOff>
    </xdr:from>
    <xdr:to>
      <xdr:col>2</xdr:col>
      <xdr:colOff>1005013</xdr:colOff>
      <xdr:row>2</xdr:row>
      <xdr:rowOff>47625</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6458" y="131886"/>
          <a:ext cx="1013805" cy="382464"/>
        </a:xfrm>
        <a:prstGeom prst="rect">
          <a:avLst/>
        </a:prstGeom>
        <a:solidFill>
          <a:schemeClr val="accent1"/>
        </a:solid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9525</xdr:colOff>
      <xdr:row>1</xdr:row>
      <xdr:rowOff>19050</xdr:rowOff>
    </xdr:from>
    <xdr:to>
      <xdr:col>3</xdr:col>
      <xdr:colOff>465320</xdr:colOff>
      <xdr:row>2</xdr:row>
      <xdr:rowOff>59260</xdr:rowOff>
    </xdr:to>
    <xdr:pic>
      <xdr:nvPicPr>
        <xdr:cNvPr id="4" name="Picture 3" hidden="1">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23825" y="66675"/>
          <a:ext cx="1055870" cy="430735"/>
        </a:xfrm>
        <a:prstGeom prst="rect">
          <a:avLst/>
        </a:prstGeom>
        <a:solidFill>
          <a:schemeClr val="accent1"/>
        </a:solidFill>
        <a:ln>
          <a:noFill/>
        </a:ln>
      </xdr:spPr>
    </xdr:pic>
    <xdr:clientData/>
  </xdr:twoCellAnchor>
  <xdr:twoCellAnchor>
    <xdr:from>
      <xdr:col>2</xdr:col>
      <xdr:colOff>47625</xdr:colOff>
      <xdr:row>1</xdr:row>
      <xdr:rowOff>95250</xdr:rowOff>
    </xdr:from>
    <xdr:to>
      <xdr:col>3</xdr:col>
      <xdr:colOff>461179</xdr:colOff>
      <xdr:row>2</xdr:row>
      <xdr:rowOff>132348</xdr:rowOff>
    </xdr:to>
    <xdr:pic>
      <xdr:nvPicPr>
        <xdr:cNvPr id="2" name="Picture 1">
          <a:extLst>
            <a:ext uri="{FF2B5EF4-FFF2-40B4-BE49-F238E27FC236}">
              <a16:creationId xmlns:a16="http://schemas.microsoft.com/office/drawing/2014/main" id="{C29FA992-9E74-4B45-B531-1236D2C4F61E}"/>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42875" y="142875"/>
          <a:ext cx="1013629" cy="427623"/>
        </a:xfrm>
        <a:prstGeom prst="rect">
          <a:avLst/>
        </a:prstGeom>
        <a:solidFill>
          <a:schemeClr val="accent1"/>
        </a:solid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39036</xdr:colOff>
      <xdr:row>1</xdr:row>
      <xdr:rowOff>29325</xdr:rowOff>
    </xdr:from>
    <xdr:to>
      <xdr:col>2</xdr:col>
      <xdr:colOff>1012991</xdr:colOff>
      <xdr:row>2</xdr:row>
      <xdr:rowOff>69535</xdr:rowOff>
    </xdr:to>
    <xdr:pic>
      <xdr:nvPicPr>
        <xdr:cNvPr id="2" name="Picture 1" hidden="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6661" y="105525"/>
          <a:ext cx="1021580" cy="430735"/>
        </a:xfrm>
        <a:prstGeom prst="rect">
          <a:avLst/>
        </a:prstGeom>
        <a:solidFill>
          <a:schemeClr val="accent1"/>
        </a:solidFill>
        <a:ln>
          <a:noFill/>
        </a:ln>
      </xdr:spPr>
    </xdr:pic>
    <xdr:clientData/>
  </xdr:twoCellAnchor>
  <xdr:twoCellAnchor>
    <xdr:from>
      <xdr:col>2</xdr:col>
      <xdr:colOff>19050</xdr:colOff>
      <xdr:row>1</xdr:row>
      <xdr:rowOff>85725</xdr:rowOff>
    </xdr:from>
    <xdr:to>
      <xdr:col>2</xdr:col>
      <xdr:colOff>1032679</xdr:colOff>
      <xdr:row>2</xdr:row>
      <xdr:rowOff>122823</xdr:rowOff>
    </xdr:to>
    <xdr:pic>
      <xdr:nvPicPr>
        <xdr:cNvPr id="3" name="Picture 2">
          <a:extLst>
            <a:ext uri="{FF2B5EF4-FFF2-40B4-BE49-F238E27FC236}">
              <a16:creationId xmlns:a16="http://schemas.microsoft.com/office/drawing/2014/main" id="{1F8B6CA2-EEBF-48BE-8EB3-0C13B2640066}"/>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14300" y="161925"/>
          <a:ext cx="1013629" cy="427623"/>
        </a:xfrm>
        <a:prstGeom prst="rect">
          <a:avLst/>
        </a:prstGeom>
        <a:solidFill>
          <a:schemeClr val="accent1"/>
        </a:solid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38100</xdr:colOff>
      <xdr:row>1</xdr:row>
      <xdr:rowOff>114300</xdr:rowOff>
    </xdr:from>
    <xdr:to>
      <xdr:col>3</xdr:col>
      <xdr:colOff>127804</xdr:colOff>
      <xdr:row>2</xdr:row>
      <xdr:rowOff>160923</xdr:rowOff>
    </xdr:to>
    <xdr:pic>
      <xdr:nvPicPr>
        <xdr:cNvPr id="3" name="Picture 2" hidden="1">
          <a:extLst>
            <a:ext uri="{FF2B5EF4-FFF2-40B4-BE49-F238E27FC236}">
              <a16:creationId xmlns:a16="http://schemas.microsoft.com/office/drawing/2014/main" id="{6E38750B-5989-4866-9B22-3E7361FE6782}"/>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33350" y="304800"/>
          <a:ext cx="1013629" cy="427623"/>
        </a:xfrm>
        <a:prstGeom prst="rect">
          <a:avLst/>
        </a:prstGeom>
        <a:solidFill>
          <a:schemeClr val="accent1"/>
        </a:solid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2</xdr:col>
      <xdr:colOff>24848</xdr:colOff>
      <xdr:row>1</xdr:row>
      <xdr:rowOff>140804</xdr:rowOff>
    </xdr:from>
    <xdr:to>
      <xdr:col>3</xdr:col>
      <xdr:colOff>89704</xdr:colOff>
      <xdr:row>2</xdr:row>
      <xdr:rowOff>179145</xdr:rowOff>
    </xdr:to>
    <xdr:pic>
      <xdr:nvPicPr>
        <xdr:cNvPr id="2" name="Picture 1" hidden="1">
          <a:extLst>
            <a:ext uri="{FF2B5EF4-FFF2-40B4-BE49-F238E27FC236}">
              <a16:creationId xmlns:a16="http://schemas.microsoft.com/office/drawing/2014/main" id="{E42EDACC-296C-4E1F-92DF-73A640DE93A4}"/>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240196" y="339587"/>
          <a:ext cx="1017356" cy="427623"/>
        </a:xfrm>
        <a:prstGeom prst="rect">
          <a:avLst/>
        </a:prstGeom>
        <a:solidFill>
          <a:schemeClr val="accent1"/>
        </a:solid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47625</xdr:colOff>
      <xdr:row>1</xdr:row>
      <xdr:rowOff>57150</xdr:rowOff>
    </xdr:from>
    <xdr:to>
      <xdr:col>2</xdr:col>
      <xdr:colOff>977171</xdr:colOff>
      <xdr:row>2</xdr:row>
      <xdr:rowOff>66675</xdr:rowOff>
    </xdr:to>
    <xdr:pic>
      <xdr:nvPicPr>
        <xdr:cNvPr id="2" name="Picture 1">
          <a:extLst>
            <a:ext uri="{FF2B5EF4-FFF2-40B4-BE49-F238E27FC236}">
              <a16:creationId xmlns:a16="http://schemas.microsoft.com/office/drawing/2014/main" id="{F0BF49BB-CF27-4FED-9C8E-C568DF5A9A3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95250" y="114300"/>
          <a:ext cx="977171" cy="400050"/>
        </a:xfrm>
        <a:prstGeom prst="rect">
          <a:avLst/>
        </a:prstGeom>
        <a:solidFill>
          <a:schemeClr val="accent1"/>
        </a:solid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PercentProjectPhase" displayName="PercentProjectPhase" ref="I1:I21" totalsRowShown="0" headerRowDxfId="370" dataDxfId="368" headerRowBorderDxfId="369" tableBorderDxfId="367" dataCellStyle="Percent">
  <autoFilter ref="I1:I21" xr:uid="{00000000-0009-0000-0100-000007000000}"/>
  <tableColumns count="1">
    <tableColumn id="1" xr3:uid="{00000000-0010-0000-0000-000001000000}" name="% of Project Phase Complete" dataDxfId="366" dataCellStyle="Percent"/>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9000000}" name="ConstructionType" displayName="ConstructionType" ref="Q1:Q3" totalsRowShown="0" headerRowDxfId="335" dataDxfId="334">
  <autoFilter ref="Q1:Q3" xr:uid="{00000000-0009-0000-0100-000011000000}"/>
  <tableColumns count="1">
    <tableColumn id="1" xr3:uid="{00000000-0010-0000-0900-000001000000}" name="Construction Type" dataDxfId="33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A000000}" name="BiogenicInclusion" displayName="BiogenicInclusion" ref="CA1:CA3" totalsRowShown="0" headerRowDxfId="332" dataDxfId="331">
  <autoFilter ref="CA1:CA3" xr:uid="{00000000-0009-0000-0100-000012000000}"/>
  <tableColumns count="1">
    <tableColumn id="1" xr3:uid="{00000000-0010-0000-0A00-000001000000}" name="Biogenic Carbon Inclusion" dataDxfId="330"/>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B000000}" name="MaterialQuantitySource" displayName="MaterialQuantitySource" ref="BD1:BD7" totalsRowShown="0" headerRowDxfId="329" dataDxfId="328">
  <autoFilter ref="BD1:BD7" xr:uid="{00000000-0009-0000-0100-000013000000}"/>
  <tableColumns count="1">
    <tableColumn id="1" xr3:uid="{00000000-0010-0000-0B00-000001000000}" name="Material Quantity Source" dataDxfId="327"/>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C000000}" name="RiskCategory" displayName="RiskCategory" ref="AM1:AM5" totalsRowShown="0" headerRowDxfId="326" dataDxfId="325">
  <autoFilter ref="AM1:AM5" xr:uid="{00000000-0009-0000-0100-000015000000}"/>
  <tableColumns count="1">
    <tableColumn id="1" xr3:uid="{00000000-0010-0000-0C00-000001000000}" name="Risk Category" dataDxfId="32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D000000}" name="SeismicSiteClass" displayName="SeismicSiteClass" ref="AO1:AO7" totalsRowShown="0" headerRowDxfId="323" dataDxfId="322">
  <autoFilter ref="AO1:AO7" xr:uid="{00000000-0009-0000-0100-000016000000}"/>
  <tableColumns count="1">
    <tableColumn id="1" xr3:uid="{00000000-0010-0000-0D00-000001000000}" name="Seismic Site Class" dataDxfId="32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E000000}" name="SeismicDesignCategory" displayName="SeismicDesignCategory" ref="AR1:AR7" totalsRowShown="0" headerRowDxfId="320" dataDxfId="319">
  <autoFilter ref="AR1:AR7" xr:uid="{00000000-0009-0000-0100-000017000000}"/>
  <tableColumns count="1">
    <tableColumn id="1" xr3:uid="{00000000-0010-0000-0E00-000001000000}" name="Seismic Design Category" dataDxfId="318"/>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F000000}" name="AllowableSoilBearingPressure" displayName="AllowableSoilBearingPressure" ref="AU1:AU14" totalsRowShown="0" headerRowDxfId="317" dataDxfId="316">
  <autoFilter ref="AU1:AU14" xr:uid="{00000000-0009-0000-0100-000018000000}"/>
  <tableColumns count="1">
    <tableColumn id="1" xr3:uid="{00000000-0010-0000-0F00-000001000000}" name="Allowable Soil Bearing Pressure (psf)" dataDxfId="315"/>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0000000}" name="CurrentProjectPhase" displayName="CurrentProjectPhase" ref="C1:C7" totalsRowShown="0" headerRowDxfId="314" dataDxfId="313" tableBorderDxfId="312">
  <autoFilter ref="C1:C7" xr:uid="{00000000-0009-0000-0100-000019000000}"/>
  <tableColumns count="1">
    <tableColumn id="1" xr3:uid="{00000000-0010-0000-1000-000001000000}" name="Current Project Phase" dataDxfId="311"/>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1000000}" name="PrimaryHorizontal" displayName="PrimaryHorizontal" ref="W1:W12" totalsRowShown="0" headerRowDxfId="310" dataDxfId="309" tableBorderDxfId="308">
  <autoFilter ref="W1:W12" xr:uid="{00000000-0009-0000-0100-00001A000000}"/>
  <tableColumns count="1">
    <tableColumn id="1" xr3:uid="{00000000-0010-0000-1100-000001000000}" name="Primary Horizontal Gravity System" dataDxfId="307"/>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2000000}" name="PrimaryVertical" displayName="PrimaryVertical" ref="Z1:Z12" totalsRowShown="0" headerRowDxfId="306" dataDxfId="305" tableBorderDxfId="304">
  <autoFilter ref="Z1:Z12" xr:uid="{00000000-0009-0000-0100-00001B000000}"/>
  <tableColumns count="1">
    <tableColumn id="1" xr3:uid="{00000000-0010-0000-1200-000001000000}" name="Primary Vertical Gravity System" dataDxfId="30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1000000}" name="PrimaryBuildingUse" displayName="PrimaryBuildingUse" ref="M1:M14" totalsRowShown="0" headerRowDxfId="365" dataDxfId="364">
  <autoFilter ref="M1:M14" xr:uid="{00000000-0009-0000-0100-00000A000000}"/>
  <tableColumns count="1">
    <tableColumn id="1" xr3:uid="{00000000-0010-0000-0100-000001000000}" name="Primary Building Use Type" dataDxfId="363"/>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3000000}" name="PrimaryLateral" displayName="PrimaryLateral" ref="AC1:AC12" totalsRowShown="0" headerRowDxfId="302" dataDxfId="301">
  <autoFilter ref="AC1:AC12" xr:uid="{00000000-0009-0000-0100-00001C000000}"/>
  <tableColumns count="1">
    <tableColumn id="1" xr3:uid="{00000000-0010-0000-1300-000001000000}" name="Primary Lateral System" dataDxfId="300"/>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4000000}" name="Podium" displayName="Podium" ref="AF1:AF4" totalsRowShown="0" headerRowDxfId="299" dataDxfId="298" tableBorderDxfId="297">
  <autoFilter ref="AF1:AF4" xr:uid="{00000000-0009-0000-0100-00001D000000}"/>
  <tableColumns count="1">
    <tableColumn id="1" xr3:uid="{00000000-0010-0000-1400-000001000000}" name="Podium" dataDxfId="296"/>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5000000}" name="FoundationType" displayName="FoundationType" ref="AI1:AI5" totalsRowShown="0" headerRowDxfId="295" dataDxfId="294">
  <autoFilter ref="AI1:AI5" xr:uid="{00000000-0009-0000-0100-00001E000000}"/>
  <tableColumns count="1">
    <tableColumn id="1" xr3:uid="{00000000-0010-0000-1500-000001000000}" name="Foundation Type" dataDxfId="293"/>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6000000}" name="DrawingSet" displayName="DrawingSet" ref="K1:K12" totalsRowShown="0" headerRowDxfId="292" dataDxfId="291" tableBorderDxfId="290">
  <autoFilter ref="K1:K12" xr:uid="{00000000-0009-0000-0100-000001000000}"/>
  <tableColumns count="1">
    <tableColumn id="1" xr3:uid="{00000000-0010-0000-1600-000001000000}" name="Drawing Set" dataDxfId="289"/>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17000000}" name="CompliancePath" displayName="CompliancePath" ref="CL10:CL12" totalsRowShown="0" headerRowDxfId="288" dataDxfId="287">
  <autoFilter ref="CL10:CL12" xr:uid="{00000000-0009-0000-0100-000003000000}"/>
  <tableColumns count="1">
    <tableColumn id="1" xr3:uid="{00000000-0010-0000-1700-000001000000}" name="Compliance Path" dataDxfId="286"/>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18000000}" name="Table2" displayName="Table2" ref="U1:U10" totalsRowShown="0" headerRowDxfId="285" dataDxfId="284">
  <autoFilter ref="U1:U10" xr:uid="{00000000-0009-0000-0100-000002000000}"/>
  <tableColumns count="1">
    <tableColumn id="1" xr3:uid="{00000000-0010-0000-1800-000001000000}" name="Primary Structural System" dataDxfId="283"/>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9000000}" name="ElementLife" displayName="ElementLife" ref="CE1:CE5" totalsRowShown="0" headerRowDxfId="282" dataDxfId="281">
  <autoFilter ref="CE1:CE5" xr:uid="{00000000-0009-0000-0100-000004000000}"/>
  <tableColumns count="1">
    <tableColumn id="1" xr3:uid="{00000000-0010-0000-1900-000001000000}" name="Elements Life Span" dataDxfId="280"/>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A000000}" name="Table47" displayName="Table47" ref="CV1:CV4" totalsRowShown="0" headerRowDxfId="279" dataDxfId="278">
  <autoFilter ref="CV1:CV4" xr:uid="{00000000-0009-0000-0100-000006000000}"/>
  <tableColumns count="1">
    <tableColumn id="1" xr3:uid="{00000000-0010-0000-1A00-000001000000}" name="Biogenic Carbon Calculation Methodology" dataDxfId="277"/>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B000000}" name="Table4734" displayName="Table4734" ref="CX1:CX3" totalsRowShown="0" headerRowDxfId="276" dataDxfId="275">
  <autoFilter ref="CX1:CX3" xr:uid="{00000000-0009-0000-0100-000021000000}"/>
  <tableColumns count="1">
    <tableColumn id="1" xr3:uid="{00000000-0010-0000-1B00-000001000000}" name="Biogenic Carbon Calculation Methodology" dataDxfId="274"/>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1C000000}" name="Table34" displayName="Table34" ref="CT1:CT5" totalsRowShown="0" headerRowDxfId="273" dataDxfId="272" tableBorderDxfId="271">
  <autoFilter ref="CT1:CT5" xr:uid="{00000000-0009-0000-0100-000022000000}"/>
  <tableColumns count="1">
    <tableColumn id="1" xr3:uid="{00000000-0010-0000-1C00-000001000000}" name="Life Cycle Modules Assumptions" dataDxfId="27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BaselineScenario" displayName="BaselineScenario" ref="AY1:AY3" totalsRowShown="0" headerRowDxfId="362" dataDxfId="360" headerRowBorderDxfId="361" tableBorderDxfId="359">
  <autoFilter ref="AY1:AY3" xr:uid="{00000000-0009-0000-0100-000009000000}"/>
  <tableColumns count="1">
    <tableColumn id="1" xr3:uid="{00000000-0010-0000-0200-000001000000}" name="Baseline Scenario" dataDxfId="358"/>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E000000}" name="Scope" displayName="Scope" ref="BR1:BR3" totalsRowShown="0" headerRowDxfId="269" dataDxfId="268">
  <autoFilter ref="BR1:BR3" xr:uid="{00000000-0009-0000-0100-000014000000}"/>
  <tableColumns count="1">
    <tableColumn id="1" xr3:uid="{00000000-0010-0000-1E00-000001000000}" name="Scope" dataDxfId="267"/>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20000000}" name="fMultiplier" displayName="fMultiplier" ref="CM10:CM12" totalsRowShown="0" headerRowDxfId="266" dataDxfId="264" headerRowBorderDxfId="265">
  <autoFilter ref="CM10:CM12" xr:uid="{00000000-0009-0000-0100-000005000000}"/>
  <tableColumns count="1">
    <tableColumn id="1" xr3:uid="{00000000-0010-0000-2000-000001000000}" name="f multiplier" dataDxfId="263"/>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21000000}" name="ComplianceDates" displayName="ComplianceDates" ref="CN10:CN12" totalsRowShown="0" headerRowDxfId="262" dataDxfId="261">
  <autoFilter ref="CN10:CN12" xr:uid="{00000000-0009-0000-0100-000020000000}"/>
  <tableColumns count="1">
    <tableColumn id="1" xr3:uid="{00000000-0010-0000-2100-000001000000}" name="Compliance dates" dataDxfId="260"/>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2000000}" name="BiogenicUnit" displayName="BiogenicUnit" ref="CC1:CC3" totalsRowShown="0" headerRowDxfId="259" dataDxfId="258">
  <autoFilter ref="CC1:CC3" xr:uid="{00000000-0009-0000-0100-000024000000}"/>
  <tableColumns count="1">
    <tableColumn id="1" xr3:uid="{00000000-0010-0000-2200-000001000000}" name="Unit of Measure" dataDxfId="257"/>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3000000}" name="ModulesRelativeA1A3" displayName="ModulesRelativeA1A3" ref="BX1:BY5" totalsRowShown="0" headerRowDxfId="256" dataDxfId="255">
  <autoFilter ref="BX1:BY5" xr:uid="{00000000-0009-0000-0100-000027000000}"/>
  <tableColumns count="2">
    <tableColumn id="1" xr3:uid="{00000000-0010-0000-2300-000001000000}" name="Life Cycle Stages" dataDxfId="254"/>
    <tableColumn id="2" xr3:uid="{00000000-0010-0000-2300-000002000000}" name="Relative to A1-A3 " dataDxfId="253"/>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4000000}" name="ComplianceOptionalScope" displayName="ComplianceOptionalScope" ref="BV1:BV4" totalsRowShown="0" headerRowDxfId="252" dataDxfId="251">
  <autoFilter ref="BV1:BV4" xr:uid="{00000000-0009-0000-0100-000028000000}"/>
  <tableColumns count="1">
    <tableColumn id="1" xr3:uid="{00000000-0010-0000-2400-000001000000}" name="Compliance Optional Scope " dataDxfId="250"/>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5000000}" name="PermitPhase" displayName="PermitPhase" ref="F1:G6" totalsRowShown="0" headerRowDxfId="249" dataDxfId="248" tableBorderDxfId="247">
  <autoFilter ref="F1:G6" xr:uid="{00000000-0009-0000-0100-000023000000}"/>
  <tableColumns count="2">
    <tableColumn id="1" xr3:uid="{00000000-0010-0000-2500-000001000000}" name="Permit Phase" dataDxfId="246"/>
    <tableColumn id="2" xr3:uid="{B78952F4-46BA-43B7-9DF8-9220D982DDCB}" name="Rezoning Permit Version" dataDxfId="245"/>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6000000}" name="RawDataFileDescription" displayName="RawDataFileDescription" ref="DB1:DB12" totalsRowShown="0" headerRowDxfId="244" dataDxfId="243">
  <autoFilter ref="DB1:DB12" xr:uid="{00000000-0009-0000-0100-000025000000}"/>
  <tableColumns count="1">
    <tableColumn id="1" xr3:uid="{00000000-0010-0000-2600-000001000000}" name="Raw Data File Description" dataDxfId="242"/>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7000000}" name="OneClickLCA" displayName="OneClickLCA" ref="BP1:BP3" totalsRowShown="0" headerRowDxfId="241" dataDxfId="239" headerRowBorderDxfId="240" tableBorderDxfId="238" totalsRowBorderDxfId="237">
  <autoFilter ref="BP1:BP3" xr:uid="{00000000-0009-0000-0100-000026000000}"/>
  <tableColumns count="1">
    <tableColumn id="1" xr3:uid="{00000000-0010-0000-2700-000001000000}" name="One Click LCA" dataDxfId="236"/>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8000000}" name="Life_Cycle_Stages_Scope" displayName="Life_Cycle_Stages_Scope" ref="BT1:BT4" totalsRowShown="0" headerRowDxfId="235" dataDxfId="234">
  <autoFilter ref="BT1:BT4" xr:uid="{00000000-0009-0000-0100-000029000000}"/>
  <tableColumns count="1">
    <tableColumn id="1" xr3:uid="{00000000-0010-0000-2800-000001000000}" name="Life Cycle Stages Scope" dataDxfId="23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3000000}" name="SecondaryBuildingUse" displayName="SecondaryBuildingUse" ref="O1:O14" totalsRowShown="0" headerRowDxfId="357" dataDxfId="356">
  <autoFilter ref="O1:O14" xr:uid="{00000000-0009-0000-0100-00000B000000}"/>
  <tableColumns count="1">
    <tableColumn id="1" xr3:uid="{00000000-0010-0000-0300-000001000000}" name="Secondary Building Use Type" dataDxfId="355"/>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9000000}" name="Common_Space_Allocation" displayName="Common_Space_Allocation" ref="AW1:AW5" totalsRowShown="0" headerRowDxfId="232" dataDxfId="231">
  <autoFilter ref="AW1:AW5" xr:uid="{00000000-0009-0000-0100-00002B000000}"/>
  <tableColumns count="1">
    <tableColumn id="1" xr3:uid="{00000000-0010-0000-2900-000001000000}" name="Common Space Allocation" dataDxfId="230"/>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F2F0DB0-8AD9-414D-8050-5C39B6AF9D19}" name="Table8" displayName="Table8" ref="CL2:CN9" totalsRowShown="0" headerRowDxfId="229" headerRowBorderDxfId="228" tableBorderDxfId="227" totalsRowBorderDxfId="226">
  <autoFilter ref="CL2:CN9" xr:uid="{BF2F0DB0-8AD9-414D-8050-5C39B6AF9D19}"/>
  <tableColumns count="3">
    <tableColumn id="1" xr3:uid="{592AED46-CBFE-4F18-8BD9-5C185D6DB197}" name="4. Results &amp; Compliance Cells" dataDxfId="225"/>
    <tableColumn id="2" xr3:uid="{4A77DD54-173C-4A0E-BB26-364146362052}" name="Output Cell data" dataDxfId="224" dataCellStyle="Comma"/>
    <tableColumn id="3" xr3:uid="{4E05C7A6-BB31-49FE-8A9E-AE4EA18FDBDE}" name="Cell" dataDxfId="223"/>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C4D498-5E6D-4CB9-B117-3089B2373D66}" name="Table31" displayName="Table31" ref="CL14:CM26" totalsRowShown="0" headerRowDxfId="222">
  <autoFilter ref="CL14:CM26" xr:uid="{00C4D498-5E6D-4CB9-B117-3089B2373D66}"/>
  <tableColumns count="2">
    <tableColumn id="1" xr3:uid="{9CF0AB9E-7C75-4F93-9040-0A02E2D6BCF0}" name="Error messages for Cell D27 sheet 4. Results &amp; Compliance" dataDxfId="221"/>
    <tableColumn id="2" xr3:uid="{6AF030F5-E309-4267-BDCB-22B5E2F49E50}" name="Message" dataDxfId="220"/>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CED180FB-644D-4A79-8491-F7059F04F32A}" name="Table42" displayName="Table42" ref="CO10:CQ12" totalsRowShown="0" headerRowDxfId="219" tableBorderDxfId="218">
  <autoFilter ref="CO10:CQ12" xr:uid="{CED180FB-644D-4A79-8491-F7059F04F32A}"/>
  <tableColumns count="3">
    <tableColumn id="1" xr3:uid="{7F07F4F6-0A86-489D-98F2-1BD00F6E1D05}" name="Min. Reduction Required" dataDxfId="217" dataCellStyle="Percent"/>
    <tableColumn id="2" xr3:uid="{E788AF07-065D-4B75-A7A2-271291304178}" name="f (EC limit factor)" dataDxfId="216" dataCellStyle="Percent"/>
    <tableColumn id="3" xr3:uid="{FE2D93C7-5493-479B-86C7-D87D8FDAAE97}" name="ECI (Limit)" dataDxfId="215"/>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71441F4B-58E2-44A7-8F64-EC5F8B992C2D}" name="Table473445" displayName="Table473445" ref="CZ1:CZ3" totalsRowShown="0" headerRowDxfId="214" dataDxfId="213">
  <autoFilter ref="CZ1:CZ3" xr:uid="{71441F4B-58E2-44A7-8F64-EC5F8B992C2D}"/>
  <tableColumns count="1">
    <tableColumn id="1" xr3:uid="{74492B81-E5D5-47E5-A179-A86107C17F4C}" name="Scope of Short Cycle Biogenic Carbon Included" dataDxfId="21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4000000}" name="ProvinceState" displayName="ProvinceState" ref="A1:A14" totalsRowShown="0" headerRowDxfId="354" dataDxfId="353">
  <autoFilter ref="A1:A14" xr:uid="{00000000-0009-0000-0100-00000C000000}"/>
  <tableColumns count="1">
    <tableColumn id="1" xr3:uid="{00000000-0010-0000-0400-000001000000}" name="Province/State" dataDxfId="35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5000000}" name="GreenBuildingRatingSystem" displayName="GreenBuildingRatingSystem" ref="BB1:BB12" totalsRowShown="0" headerRowDxfId="351" dataDxfId="350">
  <autoFilter ref="BB1:BB12" xr:uid="{00000000-0009-0000-0100-00000D000000}"/>
  <tableColumns count="1">
    <tableColumn id="1" xr3:uid="{00000000-0010-0000-0500-000001000000}" name="Green Building Rating System" dataDxfId="34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6000000}" name="PolicyRequirement" displayName="PolicyRequirement" ref="BH1:BH8" totalsRowShown="0" headerRowDxfId="348" dataDxfId="347">
  <autoFilter ref="BH1:BH8" xr:uid="{00000000-0009-0000-0100-00000E000000}"/>
  <tableColumns count="1">
    <tableColumn id="1" xr3:uid="{00000000-0010-0000-0600-000001000000}" name="Policy Requirement" dataDxfId="34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7000000}" name="LCATool" displayName="LCATool" ref="BJ1:BN16" totalsRowShown="0" headerRowDxfId="345" dataDxfId="344">
  <autoFilter ref="BJ1:BN16" xr:uid="{00000000-0009-0000-0100-00000F000000}"/>
  <tableColumns count="5">
    <tableColumn id="1" xr3:uid="{00000000-0010-0000-0700-000001000000}" name="LCA or EC Software Tool" dataDxfId="343"/>
    <tableColumn id="2" xr3:uid="{9B8D0121-7A6B-4E3E-9B49-7C54E1BF9FFA}" name="Reports A4" dataDxfId="342"/>
    <tableColumn id="5" xr3:uid="{0A46DC9F-E568-40B1-A14F-A6177013DA04}" name="Reports A5" dataDxfId="341"/>
    <tableColumn id="4" xr3:uid="{BCF49E69-AC7B-447D-9132-68C99EEC81CC}" name="Reports B1-B5" dataDxfId="340"/>
    <tableColumn id="3" xr3:uid="{70F97278-A042-45A0-A895-6F9067C9109A}" name="Reports C1-C4" dataDxfId="339"/>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8000000}" name="ParkingType" displayName="ParkingType" ref="S1:S6" totalsRowShown="0" headerRowDxfId="338" dataDxfId="337">
  <autoFilter ref="S1:S6" xr:uid="{00000000-0009-0000-0100-000010000000}"/>
  <tableColumns count="1">
    <tableColumn id="1" xr3:uid="{00000000-0010-0000-0800-000001000000}" name="Parking Type" dataDxfId="33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3" Type="http://schemas.openxmlformats.org/officeDocument/2006/relationships/table" Target="../tables/table11.xml"/><Relationship Id="rId18" Type="http://schemas.openxmlformats.org/officeDocument/2006/relationships/table" Target="../tables/table16.xml"/><Relationship Id="rId26" Type="http://schemas.openxmlformats.org/officeDocument/2006/relationships/table" Target="../tables/table24.xml"/><Relationship Id="rId39" Type="http://schemas.openxmlformats.org/officeDocument/2006/relationships/table" Target="../tables/table37.xml"/><Relationship Id="rId21" Type="http://schemas.openxmlformats.org/officeDocument/2006/relationships/table" Target="../tables/table19.xml"/><Relationship Id="rId34" Type="http://schemas.openxmlformats.org/officeDocument/2006/relationships/table" Target="../tables/table32.xml"/><Relationship Id="rId42" Type="http://schemas.openxmlformats.org/officeDocument/2006/relationships/table" Target="../tables/table40.xml"/><Relationship Id="rId47" Type="http://schemas.openxmlformats.org/officeDocument/2006/relationships/comments" Target="../comments8.xml"/><Relationship Id="rId7" Type="http://schemas.openxmlformats.org/officeDocument/2006/relationships/table" Target="../tables/table5.xml"/><Relationship Id="rId2" Type="http://schemas.openxmlformats.org/officeDocument/2006/relationships/vmlDrawing" Target="../drawings/vmlDrawing8.vml"/><Relationship Id="rId16" Type="http://schemas.openxmlformats.org/officeDocument/2006/relationships/table" Target="../tables/table14.xml"/><Relationship Id="rId29" Type="http://schemas.openxmlformats.org/officeDocument/2006/relationships/table" Target="../tables/table27.xml"/><Relationship Id="rId1" Type="http://schemas.openxmlformats.org/officeDocument/2006/relationships/printerSettings" Target="../printerSettings/printerSettings11.bin"/><Relationship Id="rId6" Type="http://schemas.openxmlformats.org/officeDocument/2006/relationships/table" Target="../tables/table4.xml"/><Relationship Id="rId11" Type="http://schemas.openxmlformats.org/officeDocument/2006/relationships/table" Target="../tables/table9.xml"/><Relationship Id="rId24" Type="http://schemas.openxmlformats.org/officeDocument/2006/relationships/table" Target="../tables/table22.xml"/><Relationship Id="rId32" Type="http://schemas.openxmlformats.org/officeDocument/2006/relationships/table" Target="../tables/table30.xml"/><Relationship Id="rId37" Type="http://schemas.openxmlformats.org/officeDocument/2006/relationships/table" Target="../tables/table35.xml"/><Relationship Id="rId40" Type="http://schemas.openxmlformats.org/officeDocument/2006/relationships/table" Target="../tables/table38.xml"/><Relationship Id="rId45" Type="http://schemas.openxmlformats.org/officeDocument/2006/relationships/table" Target="../tables/table43.xml"/><Relationship Id="rId5" Type="http://schemas.openxmlformats.org/officeDocument/2006/relationships/table" Target="../tables/table3.xml"/><Relationship Id="rId15" Type="http://schemas.openxmlformats.org/officeDocument/2006/relationships/table" Target="../tables/table13.xml"/><Relationship Id="rId23" Type="http://schemas.openxmlformats.org/officeDocument/2006/relationships/table" Target="../tables/table21.xml"/><Relationship Id="rId28" Type="http://schemas.openxmlformats.org/officeDocument/2006/relationships/table" Target="../tables/table26.xml"/><Relationship Id="rId36" Type="http://schemas.openxmlformats.org/officeDocument/2006/relationships/table" Target="../tables/table34.xml"/><Relationship Id="rId10" Type="http://schemas.openxmlformats.org/officeDocument/2006/relationships/table" Target="../tables/table8.xml"/><Relationship Id="rId19" Type="http://schemas.openxmlformats.org/officeDocument/2006/relationships/table" Target="../tables/table17.xml"/><Relationship Id="rId31" Type="http://schemas.openxmlformats.org/officeDocument/2006/relationships/table" Target="../tables/table29.xml"/><Relationship Id="rId44" Type="http://schemas.openxmlformats.org/officeDocument/2006/relationships/table" Target="../tables/table42.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 Id="rId22" Type="http://schemas.openxmlformats.org/officeDocument/2006/relationships/table" Target="../tables/table20.xml"/><Relationship Id="rId27" Type="http://schemas.openxmlformats.org/officeDocument/2006/relationships/table" Target="../tables/table25.xml"/><Relationship Id="rId30" Type="http://schemas.openxmlformats.org/officeDocument/2006/relationships/table" Target="../tables/table28.xml"/><Relationship Id="rId35" Type="http://schemas.openxmlformats.org/officeDocument/2006/relationships/table" Target="../tables/table33.xml"/><Relationship Id="rId43" Type="http://schemas.openxmlformats.org/officeDocument/2006/relationships/table" Target="../tables/table41.xml"/><Relationship Id="rId8" Type="http://schemas.openxmlformats.org/officeDocument/2006/relationships/table" Target="../tables/table6.xml"/><Relationship Id="rId3" Type="http://schemas.openxmlformats.org/officeDocument/2006/relationships/table" Target="../tables/table1.xml"/><Relationship Id="rId12" Type="http://schemas.openxmlformats.org/officeDocument/2006/relationships/table" Target="../tables/table10.xml"/><Relationship Id="rId17" Type="http://schemas.openxmlformats.org/officeDocument/2006/relationships/table" Target="../tables/table15.xml"/><Relationship Id="rId25" Type="http://schemas.openxmlformats.org/officeDocument/2006/relationships/table" Target="../tables/table23.xml"/><Relationship Id="rId33" Type="http://schemas.openxmlformats.org/officeDocument/2006/relationships/table" Target="../tables/table31.xml"/><Relationship Id="rId38" Type="http://schemas.openxmlformats.org/officeDocument/2006/relationships/table" Target="../tables/table36.xml"/><Relationship Id="rId46" Type="http://schemas.openxmlformats.org/officeDocument/2006/relationships/table" Target="../tables/table44.xml"/><Relationship Id="rId20" Type="http://schemas.openxmlformats.org/officeDocument/2006/relationships/table" Target="../tables/table18.xml"/><Relationship Id="rId41" Type="http://schemas.openxmlformats.org/officeDocument/2006/relationships/table" Target="../tables/table3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tinyurl.com/COV-ECDR"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sheetPr>
  <dimension ref="A1:Q40"/>
  <sheetViews>
    <sheetView workbookViewId="0">
      <selection activeCell="E3" sqref="E3"/>
    </sheetView>
  </sheetViews>
  <sheetFormatPr defaultColWidth="0" defaultRowHeight="15" zeroHeight="1"/>
  <cols>
    <col min="1" max="2" width="0.7109375" style="28" customWidth="1"/>
    <col min="3" max="3" width="32.42578125" style="28" customWidth="1"/>
    <col min="4" max="4" width="14" style="28" customWidth="1"/>
    <col min="5" max="5" width="38.85546875" style="28" customWidth="1"/>
    <col min="6" max="6" width="2.42578125" style="28" customWidth="1"/>
    <col min="7" max="7" width="20.7109375" style="30" customWidth="1"/>
    <col min="8" max="17" width="0" style="28" hidden="1" customWidth="1"/>
    <col min="18" max="16384" width="10.7109375" style="28" hidden="1"/>
  </cols>
  <sheetData>
    <row r="1" spans="1:15" ht="5.0999999999999996" customHeight="1" thickBot="1">
      <c r="B1" s="29"/>
    </row>
    <row r="2" spans="1:15" s="33" customFormat="1" ht="30.75" customHeight="1">
      <c r="A2" s="29"/>
      <c r="B2" s="31"/>
      <c r="C2" s="758" t="s">
        <v>218</v>
      </c>
      <c r="D2" s="758"/>
      <c r="E2" s="758"/>
      <c r="F2" s="759"/>
      <c r="G2" s="20"/>
      <c r="H2" s="32"/>
      <c r="I2" s="32"/>
      <c r="J2" s="32"/>
      <c r="K2" s="32"/>
      <c r="L2" s="32"/>
      <c r="M2" s="32"/>
    </row>
    <row r="3" spans="1:15" s="33" customFormat="1" ht="15" customHeight="1">
      <c r="A3" s="29"/>
      <c r="B3" s="34"/>
      <c r="C3" s="35"/>
      <c r="D3" s="35"/>
      <c r="E3" s="36" t="s">
        <v>545</v>
      </c>
      <c r="F3" s="37"/>
      <c r="G3" s="19"/>
      <c r="H3" s="32"/>
      <c r="I3" s="32"/>
      <c r="J3" s="32"/>
      <c r="K3" s="32"/>
      <c r="L3" s="32"/>
      <c r="M3" s="32"/>
    </row>
    <row r="4" spans="1:15" s="33" customFormat="1" ht="19.5" customHeight="1">
      <c r="A4" s="29"/>
      <c r="B4" s="39"/>
      <c r="C4" s="40"/>
      <c r="D4" s="40" t="s">
        <v>0</v>
      </c>
      <c r="E4" s="219" t="s">
        <v>1611</v>
      </c>
      <c r="F4" s="42"/>
      <c r="G4" s="19"/>
      <c r="H4" s="32"/>
      <c r="I4" s="32"/>
      <c r="J4" s="32"/>
      <c r="K4" s="32"/>
      <c r="L4" s="32"/>
      <c r="M4" s="32"/>
    </row>
    <row r="5" spans="1:15" ht="6" customHeight="1" thickBot="1">
      <c r="A5" s="29"/>
      <c r="B5" s="43"/>
      <c r="C5" s="44"/>
      <c r="D5" s="45"/>
      <c r="E5" s="45"/>
      <c r="F5" s="46"/>
      <c r="G5" s="17"/>
    </row>
    <row r="6" spans="1:15" ht="6" customHeight="1">
      <c r="A6" s="29"/>
      <c r="B6" s="31"/>
      <c r="C6" s="47"/>
      <c r="D6" s="47"/>
      <c r="E6" s="47"/>
      <c r="F6" s="48"/>
      <c r="G6" s="17"/>
    </row>
    <row r="7" spans="1:15" s="33" customFormat="1" ht="15.75" hidden="1">
      <c r="A7" s="29"/>
      <c r="B7" s="49"/>
      <c r="C7" s="3" t="s">
        <v>421</v>
      </c>
      <c r="D7" s="3"/>
      <c r="E7" s="3"/>
      <c r="F7" s="50"/>
      <c r="G7" s="17"/>
      <c r="I7" s="28"/>
      <c r="J7" s="51"/>
      <c r="K7" s="51"/>
      <c r="L7" s="51"/>
      <c r="M7" s="51"/>
      <c r="N7" s="51"/>
      <c r="O7" s="51"/>
    </row>
    <row r="8" spans="1:15" s="33" customFormat="1" ht="116.25" customHeight="1">
      <c r="A8" s="29"/>
      <c r="B8" s="49"/>
      <c r="C8" s="760" t="s">
        <v>1561</v>
      </c>
      <c r="D8" s="760"/>
      <c r="E8" s="760"/>
      <c r="F8" s="137"/>
      <c r="G8" s="248"/>
      <c r="H8" s="51"/>
      <c r="I8" s="51"/>
      <c r="J8" s="51"/>
      <c r="K8" s="51"/>
      <c r="L8" s="51"/>
      <c r="M8" s="51"/>
    </row>
    <row r="9" spans="1:15" ht="6" customHeight="1" thickBot="1">
      <c r="A9" s="29"/>
      <c r="B9" s="52"/>
      <c r="C9" s="47"/>
      <c r="D9" s="47"/>
      <c r="E9" s="47"/>
      <c r="F9" s="48"/>
      <c r="G9" s="17"/>
    </row>
    <row r="10" spans="1:15" ht="8.1" customHeight="1">
      <c r="A10" s="29"/>
      <c r="B10" s="31"/>
      <c r="C10" s="53"/>
      <c r="D10" s="53"/>
      <c r="E10" s="53"/>
      <c r="F10" s="54"/>
      <c r="G10" s="17"/>
    </row>
    <row r="11" spans="1:15" s="33" customFormat="1" ht="20.100000000000001" customHeight="1">
      <c r="A11" s="29"/>
      <c r="B11" s="49"/>
      <c r="C11" s="3" t="s">
        <v>487</v>
      </c>
      <c r="D11" s="3"/>
      <c r="E11" s="3"/>
      <c r="F11" s="50"/>
      <c r="G11" s="17"/>
      <c r="I11" s="28"/>
      <c r="J11" s="51"/>
      <c r="K11" s="51"/>
      <c r="L11" s="51"/>
      <c r="M11" s="51"/>
      <c r="N11" s="51"/>
      <c r="O11" s="51"/>
    </row>
    <row r="12" spans="1:15" s="33" customFormat="1" ht="135.75" customHeight="1">
      <c r="A12" s="29"/>
      <c r="B12" s="49"/>
      <c r="C12" s="760" t="s">
        <v>1395</v>
      </c>
      <c r="D12" s="760"/>
      <c r="E12" s="760"/>
      <c r="F12" s="137"/>
      <c r="G12" s="248"/>
      <c r="H12" s="51"/>
      <c r="I12" s="51"/>
      <c r="J12" s="51"/>
      <c r="K12" s="51"/>
      <c r="L12" s="51"/>
      <c r="M12" s="51"/>
    </row>
    <row r="13" spans="1:15" ht="8.1" customHeight="1" thickBot="1">
      <c r="A13" s="29"/>
      <c r="B13" s="55"/>
      <c r="C13" s="56"/>
      <c r="D13" s="56"/>
      <c r="E13" s="56"/>
      <c r="F13" s="57"/>
      <c r="G13" s="17"/>
    </row>
    <row r="14" spans="1:15" ht="8.1" customHeight="1">
      <c r="A14" s="29"/>
      <c r="B14" s="31"/>
      <c r="C14" s="53"/>
      <c r="D14" s="53"/>
      <c r="E14" s="53"/>
      <c r="F14" s="54"/>
      <c r="G14" s="17"/>
    </row>
    <row r="15" spans="1:15" s="33" customFormat="1" ht="15" customHeight="1">
      <c r="A15" s="29"/>
      <c r="B15" s="43"/>
      <c r="C15" s="3" t="s">
        <v>422</v>
      </c>
      <c r="D15" s="3"/>
      <c r="E15" s="3"/>
      <c r="F15" s="50"/>
      <c r="G15" s="17"/>
      <c r="I15" s="28"/>
      <c r="J15" s="51"/>
      <c r="K15" s="51"/>
      <c r="L15" s="51"/>
      <c r="M15" s="51"/>
      <c r="N15" s="51"/>
      <c r="O15" s="51"/>
    </row>
    <row r="16" spans="1:15" ht="8.1" customHeight="1">
      <c r="A16" s="29"/>
      <c r="B16" s="65"/>
      <c r="C16" s="182"/>
      <c r="D16" s="182"/>
      <c r="E16" s="182"/>
      <c r="F16" s="60"/>
      <c r="G16" s="17"/>
    </row>
    <row r="17" spans="1:15" s="33" customFormat="1" ht="15" customHeight="1">
      <c r="A17" s="29"/>
      <c r="B17" s="43"/>
      <c r="C17" s="375" t="s">
        <v>1</v>
      </c>
      <c r="D17" s="750" t="s">
        <v>1139</v>
      </c>
      <c r="E17" s="751"/>
      <c r="F17" s="60"/>
      <c r="G17" s="17"/>
      <c r="H17" s="51"/>
      <c r="I17" s="51"/>
      <c r="J17" s="51"/>
      <c r="K17" s="51"/>
      <c r="L17" s="51"/>
      <c r="M17" s="51"/>
    </row>
    <row r="18" spans="1:15" s="33" customFormat="1" ht="15" customHeight="1">
      <c r="A18" s="29"/>
      <c r="B18" s="43"/>
      <c r="C18" s="61" t="s">
        <v>456</v>
      </c>
      <c r="D18" s="752"/>
      <c r="E18" s="753"/>
      <c r="F18" s="62"/>
      <c r="H18" s="51"/>
      <c r="I18" s="51"/>
      <c r="J18" s="51"/>
      <c r="K18" s="51"/>
      <c r="L18" s="51"/>
      <c r="M18" s="51"/>
    </row>
    <row r="19" spans="1:15" s="33" customFormat="1" ht="15" customHeight="1">
      <c r="A19" s="29"/>
      <c r="B19" s="2" t="s">
        <v>457</v>
      </c>
      <c r="C19" s="747"/>
      <c r="D19" s="752"/>
      <c r="E19" s="753"/>
      <c r="F19" s="62"/>
      <c r="G19" s="17"/>
      <c r="H19" s="51"/>
      <c r="I19" s="51"/>
      <c r="J19" s="51"/>
      <c r="K19" s="51"/>
      <c r="L19" s="51"/>
      <c r="M19" s="51"/>
    </row>
    <row r="20" spans="1:15" s="33" customFormat="1" ht="15" customHeight="1">
      <c r="A20" s="29"/>
      <c r="B20" s="43"/>
      <c r="C20" s="61" t="s">
        <v>2</v>
      </c>
      <c r="D20" s="754"/>
      <c r="E20" s="755"/>
      <c r="F20" s="62"/>
      <c r="G20" s="17"/>
      <c r="H20" s="51"/>
      <c r="I20" s="51"/>
      <c r="J20" s="51"/>
      <c r="K20" s="51"/>
      <c r="L20" s="51"/>
      <c r="M20" s="51"/>
    </row>
    <row r="21" spans="1:15" s="33" customFormat="1" ht="15" customHeight="1">
      <c r="A21" s="29"/>
      <c r="B21" s="748" t="s">
        <v>3</v>
      </c>
      <c r="C21" s="749"/>
      <c r="D21" s="754"/>
      <c r="E21" s="755"/>
      <c r="F21" s="62"/>
      <c r="G21" s="17"/>
      <c r="H21" s="51"/>
      <c r="I21" s="51"/>
      <c r="J21" s="51"/>
      <c r="K21" s="51"/>
      <c r="L21" s="51"/>
      <c r="M21" s="51"/>
    </row>
    <row r="22" spans="1:15" s="33" customFormat="1" ht="15" customHeight="1">
      <c r="A22" s="29"/>
      <c r="B22" s="43"/>
      <c r="C22" s="63" t="s">
        <v>4</v>
      </c>
      <c r="D22" s="756"/>
      <c r="E22" s="757"/>
      <c r="F22" s="62"/>
      <c r="G22" s="17"/>
      <c r="H22" s="51"/>
      <c r="I22" s="51"/>
      <c r="J22" s="51"/>
      <c r="K22" s="51"/>
      <c r="L22" s="51"/>
      <c r="M22" s="51"/>
    </row>
    <row r="23" spans="1:15" ht="6" customHeight="1" thickBot="1">
      <c r="A23" s="29"/>
      <c r="B23" s="55"/>
      <c r="C23" s="56"/>
      <c r="D23" s="56"/>
      <c r="E23" s="56"/>
      <c r="F23" s="57"/>
      <c r="G23" s="17"/>
    </row>
    <row r="24" spans="1:15" ht="6" customHeight="1">
      <c r="A24" s="29"/>
      <c r="B24" s="526"/>
      <c r="C24" s="524"/>
      <c r="D24" s="524"/>
      <c r="E24" s="524"/>
      <c r="F24" s="525"/>
      <c r="G24" s="17"/>
    </row>
    <row r="25" spans="1:15" s="33" customFormat="1" ht="15" customHeight="1">
      <c r="A25" s="29"/>
      <c r="B25" s="64"/>
      <c r="C25" s="3" t="s">
        <v>1391</v>
      </c>
      <c r="D25" s="3"/>
      <c r="E25" s="3"/>
      <c r="F25" s="60"/>
      <c r="G25" s="17"/>
      <c r="I25" s="28"/>
      <c r="J25" s="51"/>
      <c r="K25" s="51"/>
      <c r="L25" s="51"/>
      <c r="M25" s="51"/>
      <c r="N25" s="51"/>
      <c r="O25" s="51"/>
    </row>
    <row r="26" spans="1:15" ht="8.1" customHeight="1">
      <c r="A26" s="29"/>
      <c r="B26" s="65"/>
      <c r="C26" s="66"/>
      <c r="D26" s="66"/>
      <c r="E26" s="66"/>
      <c r="F26" s="60"/>
      <c r="G26" s="17"/>
    </row>
    <row r="27" spans="1:15" ht="30" customHeight="1">
      <c r="A27" s="29"/>
      <c r="B27" s="65"/>
      <c r="C27" s="1" t="s">
        <v>1396</v>
      </c>
      <c r="D27" s="1"/>
      <c r="E27" s="1"/>
      <c r="F27" s="60"/>
      <c r="G27" s="17"/>
    </row>
    <row r="28" spans="1:15" ht="6" customHeight="1">
      <c r="A28" s="29"/>
      <c r="B28" s="65"/>
      <c r="C28" s="182"/>
      <c r="D28" s="182"/>
      <c r="E28" s="182"/>
      <c r="F28" s="60"/>
      <c r="G28" s="17"/>
    </row>
    <row r="29" spans="1:15" s="33" customFormat="1" ht="15" customHeight="1">
      <c r="A29" s="29"/>
      <c r="B29" s="43"/>
      <c r="C29" s="187" t="s">
        <v>1392</v>
      </c>
      <c r="D29" s="187" t="s">
        <v>5</v>
      </c>
      <c r="E29" s="195" t="s">
        <v>6</v>
      </c>
      <c r="F29" s="60"/>
      <c r="G29" s="17"/>
      <c r="H29" s="51"/>
      <c r="I29" s="51"/>
      <c r="J29" s="51"/>
      <c r="K29" s="51"/>
      <c r="L29" s="51"/>
      <c r="M29" s="51"/>
    </row>
    <row r="30" spans="1:15" s="33" customFormat="1" ht="30" customHeight="1">
      <c r="A30" s="29"/>
      <c r="B30" s="43"/>
      <c r="C30" s="67" t="s">
        <v>485</v>
      </c>
      <c r="D30" s="68" t="s">
        <v>7</v>
      </c>
      <c r="E30" s="527" t="s">
        <v>1393</v>
      </c>
      <c r="F30" s="60"/>
      <c r="G30" s="17"/>
      <c r="H30" s="51"/>
      <c r="I30" s="51"/>
      <c r="J30" s="51"/>
      <c r="K30" s="51"/>
      <c r="L30" s="51"/>
      <c r="M30" s="51"/>
    </row>
    <row r="31" spans="1:15" s="33" customFormat="1" ht="30" customHeight="1">
      <c r="A31" s="29"/>
      <c r="B31" s="43"/>
      <c r="C31" s="69" t="s">
        <v>8</v>
      </c>
      <c r="D31" s="68" t="s">
        <v>455</v>
      </c>
      <c r="E31" s="527" t="s">
        <v>9</v>
      </c>
      <c r="F31" s="60"/>
      <c r="G31" s="17"/>
      <c r="H31" s="51"/>
      <c r="I31" s="51"/>
      <c r="J31" s="51"/>
      <c r="K31" s="51"/>
      <c r="L31" s="51"/>
      <c r="M31" s="51"/>
    </row>
    <row r="32" spans="1:15" s="33" customFormat="1" ht="30" customHeight="1">
      <c r="A32" s="29"/>
      <c r="B32" s="43"/>
      <c r="C32" s="69" t="s">
        <v>505</v>
      </c>
      <c r="D32" s="68" t="s">
        <v>455</v>
      </c>
      <c r="E32" s="527" t="s">
        <v>506</v>
      </c>
      <c r="F32" s="60"/>
      <c r="G32" s="17"/>
      <c r="H32" s="51"/>
      <c r="I32" s="51"/>
      <c r="J32" s="51"/>
      <c r="K32" s="51"/>
      <c r="L32" s="51"/>
      <c r="M32" s="51"/>
    </row>
    <row r="33" spans="1:13" s="33" customFormat="1" ht="45" customHeight="1">
      <c r="A33" s="29"/>
      <c r="B33" s="43"/>
      <c r="C33" s="69" t="s">
        <v>10</v>
      </c>
      <c r="D33" s="68" t="s">
        <v>455</v>
      </c>
      <c r="E33" s="527" t="s">
        <v>11</v>
      </c>
      <c r="F33" s="60"/>
      <c r="G33" s="17"/>
      <c r="H33" s="51"/>
      <c r="I33" s="51"/>
      <c r="J33" s="51"/>
      <c r="K33" s="51"/>
      <c r="L33" s="51"/>
      <c r="M33" s="51"/>
    </row>
    <row r="34" spans="1:13" s="33" customFormat="1" ht="52.5" customHeight="1">
      <c r="A34" s="29"/>
      <c r="B34" s="43"/>
      <c r="C34" s="69" t="s">
        <v>1484</v>
      </c>
      <c r="D34" s="68" t="s">
        <v>455</v>
      </c>
      <c r="E34" s="527" t="s">
        <v>1562</v>
      </c>
      <c r="F34" s="60"/>
      <c r="G34" s="209"/>
      <c r="H34" s="51"/>
      <c r="I34" s="51"/>
      <c r="J34" s="51"/>
      <c r="K34" s="71"/>
      <c r="L34" s="51"/>
      <c r="M34" s="51"/>
    </row>
    <row r="35" spans="1:13" s="33" customFormat="1" ht="30" customHeight="1">
      <c r="A35" s="29"/>
      <c r="B35" s="43"/>
      <c r="C35" s="70" t="s">
        <v>1336</v>
      </c>
      <c r="D35" s="68" t="s">
        <v>12</v>
      </c>
      <c r="E35" s="527" t="s">
        <v>13</v>
      </c>
      <c r="F35" s="60"/>
      <c r="G35" s="209"/>
      <c r="H35" s="51"/>
      <c r="I35" s="51"/>
      <c r="J35" s="51"/>
      <c r="K35" s="51"/>
      <c r="L35" s="51"/>
      <c r="M35" s="51"/>
    </row>
    <row r="36" spans="1:13" s="33" customFormat="1" ht="30" customHeight="1">
      <c r="A36" s="29"/>
      <c r="B36" s="43"/>
      <c r="C36" s="70" t="s">
        <v>1337</v>
      </c>
      <c r="D36" s="68" t="s">
        <v>12</v>
      </c>
      <c r="E36" s="527" t="s">
        <v>1339</v>
      </c>
      <c r="F36" s="60"/>
      <c r="G36" s="209"/>
      <c r="H36" s="51"/>
      <c r="I36" s="51"/>
      <c r="J36" s="51"/>
      <c r="K36" s="51"/>
      <c r="L36" s="51"/>
      <c r="M36" s="51"/>
    </row>
    <row r="37" spans="1:13" s="33" customFormat="1" ht="30" customHeight="1">
      <c r="A37" s="29"/>
      <c r="B37" s="43"/>
      <c r="C37" s="70" t="s">
        <v>1338</v>
      </c>
      <c r="D37" s="68" t="s">
        <v>12</v>
      </c>
      <c r="E37" s="527" t="s">
        <v>1340</v>
      </c>
      <c r="F37" s="60"/>
      <c r="G37" s="209"/>
      <c r="H37" s="51"/>
      <c r="I37" s="51"/>
      <c r="J37" s="51"/>
      <c r="K37" s="51"/>
      <c r="L37" s="51"/>
      <c r="M37" s="51"/>
    </row>
    <row r="38" spans="1:13" s="33" customFormat="1" ht="30" customHeight="1">
      <c r="A38" s="29"/>
      <c r="B38" s="43"/>
      <c r="C38" s="67" t="s">
        <v>1341</v>
      </c>
      <c r="D38" s="68" t="s">
        <v>7</v>
      </c>
      <c r="E38" s="527" t="s">
        <v>1394</v>
      </c>
      <c r="F38" s="60"/>
      <c r="G38" s="17"/>
      <c r="H38" s="51"/>
      <c r="I38" s="51"/>
      <c r="J38" s="51"/>
      <c r="K38" s="51"/>
      <c r="L38" s="51"/>
      <c r="M38" s="51"/>
    </row>
    <row r="39" spans="1:13" s="33" customFormat="1" ht="30" customHeight="1">
      <c r="A39" s="29"/>
      <c r="B39" s="43"/>
      <c r="C39" s="67" t="s">
        <v>1342</v>
      </c>
      <c r="D39" s="68" t="s">
        <v>7</v>
      </c>
      <c r="E39" s="527" t="s">
        <v>526</v>
      </c>
      <c r="F39" s="60"/>
      <c r="G39" s="209"/>
      <c r="H39" s="51"/>
      <c r="I39" s="51"/>
      <c r="J39" s="51"/>
      <c r="K39" s="51"/>
      <c r="L39" s="51"/>
      <c r="M39" s="51"/>
    </row>
    <row r="40" spans="1:13" ht="6" customHeight="1" thickBot="1">
      <c r="A40" s="29"/>
      <c r="B40" s="72"/>
      <c r="C40" s="44"/>
      <c r="D40" s="45"/>
      <c r="E40" s="45"/>
      <c r="F40" s="46"/>
    </row>
  </sheetData>
  <sheetProtection algorithmName="SHA-512" hashValue="Z2aEA2L483y+UxT2m8tETM99zXr56LioAMkRPasN8JcVWOcBCgHUi6OiziGAlwAbNOubMauDuhgcheB86WkY8w==" saltValue="R0UTlv+R+u910Qqgg6PhNg==" spinCount="100000" sheet="1" formatRows="0"/>
  <mergeCells count="16">
    <mergeCell ref="C2:F2"/>
    <mergeCell ref="D18:E18"/>
    <mergeCell ref="D21:E21"/>
    <mergeCell ref="C7:E7"/>
    <mergeCell ref="C8:E8"/>
    <mergeCell ref="C11:E11"/>
    <mergeCell ref="C15:E15"/>
    <mergeCell ref="C12:E12"/>
    <mergeCell ref="C25:E25"/>
    <mergeCell ref="C27:E27"/>
    <mergeCell ref="B19:C19"/>
    <mergeCell ref="B21:C21"/>
    <mergeCell ref="D17:E17"/>
    <mergeCell ref="D19:E19"/>
    <mergeCell ref="D20:E20"/>
    <mergeCell ref="D22:E22"/>
  </mergeCells>
  <dataValidations disablePrompts="1" count="2">
    <dataValidation type="list" allowBlank="1" showInputMessage="1" showErrorMessage="1" sqref="F6 F13:F14 F9:F10 F23:F24" xr:uid="{00000000-0002-0000-0000-000000000000}">
      <formula1>INDIRECT("ConstructionType")</formula1>
    </dataValidation>
    <dataValidation type="list" allowBlank="1" showInputMessage="1" showErrorMessage="1" sqref="F6 F13:F14 F9:F10 F23:F24" xr:uid="{00000000-0002-0000-0000-000001000000}">
      <formula1>INDIRECT("SecondaryBuildingUse")</formula1>
    </dataValidation>
  </dataValidations>
  <pageMargins left="0.7" right="0.7" top="0.75" bottom="0.75" header="0.3" footer="0.3"/>
  <pageSetup orientation="portrait" r:id="rId1"/>
  <rowBreaks count="1" manualBreakCount="1">
    <brk id="23" max="16383"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3C138-AC9C-47AB-A95C-FD420C498409}">
  <sheetPr>
    <tabColor theme="7" tint="0.39997558519241921"/>
  </sheetPr>
  <dimension ref="A1:N19"/>
  <sheetViews>
    <sheetView workbookViewId="0">
      <selection activeCell="F3" sqref="F3"/>
    </sheetView>
  </sheetViews>
  <sheetFormatPr defaultColWidth="0" defaultRowHeight="14.65" customHeight="1" zeroHeight="1"/>
  <cols>
    <col min="1" max="2" width="0.7109375" style="28" customWidth="1"/>
    <col min="3" max="3" width="14.7109375" style="28" customWidth="1"/>
    <col min="4" max="4" width="21.7109375" style="28" customWidth="1"/>
    <col min="5" max="5" width="2.42578125" style="28" customWidth="1"/>
    <col min="6" max="6" width="47.7109375" style="28" customWidth="1"/>
    <col min="7" max="7" width="1.7109375" style="28" customWidth="1"/>
    <col min="8" max="8" width="20.7109375" style="17" customWidth="1"/>
    <col min="9" max="14" width="0" style="6" hidden="1" customWidth="1"/>
    <col min="15" max="16384" width="10.7109375" style="6" hidden="1"/>
  </cols>
  <sheetData>
    <row r="1" spans="1:14" customFormat="1" ht="5.0999999999999996" customHeight="1" thickBot="1">
      <c r="A1" s="28"/>
      <c r="B1" s="29"/>
      <c r="C1" s="28"/>
      <c r="D1" s="28"/>
      <c r="E1" s="28"/>
      <c r="F1" s="28"/>
      <c r="G1" s="28"/>
      <c r="H1" s="17"/>
    </row>
    <row r="2" spans="1:14" s="5" customFormat="1" ht="30.75" customHeight="1">
      <c r="A2" s="29"/>
      <c r="B2" s="31"/>
      <c r="C2" s="758" t="s">
        <v>218</v>
      </c>
      <c r="D2" s="758"/>
      <c r="E2" s="758"/>
      <c r="F2" s="758"/>
      <c r="G2" s="759"/>
      <c r="H2" s="19"/>
      <c r="I2" s="4"/>
      <c r="J2" s="4"/>
      <c r="K2" s="4"/>
      <c r="L2" s="4"/>
      <c r="M2" s="4"/>
      <c r="N2" s="4"/>
    </row>
    <row r="3" spans="1:14" s="5" customFormat="1" ht="28.5" customHeight="1">
      <c r="A3" s="29"/>
      <c r="B3" s="34"/>
      <c r="C3" s="35"/>
      <c r="D3" s="35"/>
      <c r="E3" s="35"/>
      <c r="F3" s="128" t="s">
        <v>1610</v>
      </c>
      <c r="G3" s="37"/>
      <c r="H3" s="17"/>
      <c r="I3" s="4"/>
      <c r="J3" s="4"/>
      <c r="K3" s="4"/>
      <c r="L3" s="4"/>
      <c r="M3" s="4"/>
      <c r="N3" s="4"/>
    </row>
    <row r="4" spans="1:14" s="5" customFormat="1" ht="20.100000000000001" customHeight="1">
      <c r="A4" s="29"/>
      <c r="B4" s="39"/>
      <c r="C4" s="875" t="s">
        <v>521</v>
      </c>
      <c r="D4" s="875"/>
      <c r="E4" s="875"/>
      <c r="F4" s="875"/>
      <c r="G4" s="42"/>
      <c r="H4" s="17"/>
      <c r="I4" s="4"/>
      <c r="J4" s="4"/>
      <c r="K4" s="4"/>
      <c r="L4" s="4"/>
      <c r="M4" s="4"/>
      <c r="N4" s="4"/>
    </row>
    <row r="5" spans="1:14" ht="6" customHeight="1" thickBot="1">
      <c r="A5" s="29"/>
      <c r="B5" s="43"/>
      <c r="C5" s="44"/>
      <c r="D5" s="45"/>
      <c r="E5" s="45"/>
      <c r="F5" s="45"/>
      <c r="G5" s="46"/>
    </row>
    <row r="6" spans="1:14" s="5" customFormat="1" ht="21" customHeight="1">
      <c r="A6" s="29"/>
      <c r="B6" s="49"/>
      <c r="C6" s="760" t="s">
        <v>540</v>
      </c>
      <c r="D6" s="760"/>
      <c r="E6" s="760"/>
      <c r="F6" s="760"/>
      <c r="G6" s="833"/>
      <c r="H6" s="17"/>
      <c r="I6" s="7"/>
      <c r="J6" s="7"/>
      <c r="K6" s="7"/>
      <c r="L6" s="7"/>
      <c r="M6" s="7"/>
      <c r="N6" s="7"/>
    </row>
    <row r="7" spans="1:14" ht="6" customHeight="1">
      <c r="A7" s="29"/>
      <c r="B7" s="52"/>
      <c r="C7" s="210"/>
      <c r="D7" s="210"/>
      <c r="E7" s="210"/>
      <c r="F7" s="210"/>
      <c r="G7" s="48"/>
    </row>
    <row r="8" spans="1:14" s="5" customFormat="1" ht="15">
      <c r="A8" s="29"/>
      <c r="B8" s="43"/>
      <c r="C8" s="129" t="s">
        <v>522</v>
      </c>
      <c r="D8" s="130" t="s">
        <v>523</v>
      </c>
      <c r="E8" s="1041" t="s">
        <v>524</v>
      </c>
      <c r="F8" s="1042"/>
      <c r="G8" s="60"/>
      <c r="H8" s="19"/>
      <c r="I8" s="7"/>
      <c r="J8" s="7"/>
      <c r="K8" s="7"/>
      <c r="L8" s="7"/>
      <c r="M8" s="7"/>
      <c r="N8" s="7"/>
    </row>
    <row r="9" spans="1:14" s="5" customFormat="1" ht="33" customHeight="1">
      <c r="A9" s="29"/>
      <c r="B9" s="43"/>
      <c r="C9" s="247">
        <v>1</v>
      </c>
      <c r="D9" s="244">
        <v>45219</v>
      </c>
      <c r="E9" s="1035" t="s">
        <v>525</v>
      </c>
      <c r="F9" s="1036"/>
      <c r="G9" s="60"/>
      <c r="H9" s="17"/>
      <c r="I9" s="7"/>
      <c r="J9" s="7"/>
      <c r="K9" s="7"/>
      <c r="L9" s="7"/>
      <c r="M9" s="7"/>
      <c r="N9" s="7"/>
    </row>
    <row r="10" spans="1:14" s="5" customFormat="1" ht="24" customHeight="1">
      <c r="A10" s="29"/>
      <c r="B10" s="43"/>
      <c r="C10" s="1031">
        <v>1.1000000000000001</v>
      </c>
      <c r="D10" s="1033">
        <v>45642</v>
      </c>
      <c r="E10" s="1027" t="s">
        <v>541</v>
      </c>
      <c r="F10" s="1028"/>
      <c r="G10" s="60"/>
      <c r="H10" s="17"/>
      <c r="I10" s="7"/>
      <c r="J10" s="7"/>
      <c r="K10" s="7"/>
      <c r="L10" s="7"/>
      <c r="M10" s="7"/>
      <c r="N10" s="7"/>
    </row>
    <row r="11" spans="1:14" s="5" customFormat="1" ht="35.65" customHeight="1">
      <c r="A11" s="29"/>
      <c r="B11" s="43"/>
      <c r="C11" s="1032"/>
      <c r="D11" s="1034"/>
      <c r="E11" s="1035" t="s">
        <v>542</v>
      </c>
      <c r="F11" s="1036"/>
      <c r="G11" s="60"/>
      <c r="H11" s="17"/>
      <c r="I11" s="7"/>
      <c r="J11" s="7"/>
      <c r="K11" s="7"/>
      <c r="L11" s="7"/>
      <c r="M11" s="7"/>
      <c r="N11" s="7"/>
    </row>
    <row r="12" spans="1:14" s="5" customFormat="1" ht="33" customHeight="1">
      <c r="A12" s="29"/>
      <c r="B12" s="43"/>
      <c r="C12" s="1038">
        <v>2</v>
      </c>
      <c r="D12" s="1033" t="s">
        <v>546</v>
      </c>
      <c r="E12" s="1027" t="s">
        <v>547</v>
      </c>
      <c r="F12" s="1028"/>
      <c r="G12" s="60"/>
      <c r="H12" s="17"/>
      <c r="I12" s="7"/>
      <c r="J12" s="7"/>
      <c r="K12" s="7"/>
      <c r="L12" s="7"/>
      <c r="M12" s="7"/>
      <c r="N12" s="7"/>
    </row>
    <row r="13" spans="1:14" s="5" customFormat="1" ht="33" customHeight="1">
      <c r="A13" s="29"/>
      <c r="B13" s="43"/>
      <c r="C13" s="1039"/>
      <c r="D13" s="1037"/>
      <c r="E13" s="1027" t="s">
        <v>1214</v>
      </c>
      <c r="F13" s="1028"/>
      <c r="G13" s="60"/>
      <c r="H13" s="17"/>
      <c r="I13" s="7"/>
      <c r="J13" s="7"/>
      <c r="K13" s="7"/>
      <c r="L13" s="7"/>
      <c r="M13" s="7"/>
      <c r="N13" s="7"/>
    </row>
    <row r="14" spans="1:14" s="5" customFormat="1" ht="33" customHeight="1">
      <c r="A14" s="29"/>
      <c r="B14" s="43"/>
      <c r="C14" s="1040"/>
      <c r="D14" s="1034"/>
      <c r="E14" s="1027" t="s">
        <v>1213</v>
      </c>
      <c r="F14" s="1028"/>
      <c r="G14" s="60"/>
      <c r="H14" s="17"/>
      <c r="I14" s="7"/>
      <c r="J14" s="7"/>
      <c r="K14" s="7"/>
      <c r="L14" s="7"/>
      <c r="M14" s="7"/>
      <c r="N14" s="7"/>
    </row>
    <row r="15" spans="1:14" s="5" customFormat="1" ht="33" customHeight="1">
      <c r="A15" s="29"/>
      <c r="B15" s="43"/>
      <c r="C15" s="245"/>
      <c r="D15" s="131"/>
      <c r="E15" s="1027"/>
      <c r="F15" s="1028"/>
      <c r="G15" s="60"/>
      <c r="H15" s="17"/>
      <c r="I15" s="7"/>
      <c r="J15" s="7"/>
      <c r="K15" s="7"/>
      <c r="L15" s="7"/>
      <c r="M15" s="7"/>
      <c r="N15" s="7"/>
    </row>
    <row r="16" spans="1:14" s="5" customFormat="1" ht="33" customHeight="1">
      <c r="A16" s="29"/>
      <c r="B16" s="43"/>
      <c r="C16" s="246"/>
      <c r="D16" s="132"/>
      <c r="E16" s="1029"/>
      <c r="F16" s="1030"/>
      <c r="G16" s="60"/>
      <c r="H16" s="17"/>
      <c r="I16" s="7"/>
      <c r="J16" s="7"/>
      <c r="K16" s="7"/>
      <c r="L16" s="7"/>
      <c r="M16" s="7"/>
      <c r="N16" s="7"/>
    </row>
    <row r="17" spans="1:7" ht="6" customHeight="1" thickBot="1">
      <c r="A17" s="29"/>
      <c r="B17" s="72"/>
      <c r="C17" s="44"/>
      <c r="D17" s="45"/>
      <c r="E17" s="45"/>
      <c r="F17" s="45"/>
      <c r="G17" s="46"/>
    </row>
    <row r="18" spans="1:7" ht="14.65" customHeight="1"/>
    <row r="19" spans="1:7" ht="14.65" customHeight="1"/>
  </sheetData>
  <sheetProtection algorithmName="SHA-512" hashValue="Wt6uCv4w+JiDbQID5nnY08zm09yqARn3VYyblpxXpfqN2fWkNBCZpvA1Qh5khrhzn//wLt7dGP4ON8RbqNg+CQ==" saltValue="MllIocUu1j7TIiasVJMHiw==" spinCount="100000" sheet="1" formatRows="0"/>
  <mergeCells count="16">
    <mergeCell ref="C2:G2"/>
    <mergeCell ref="C4:F4"/>
    <mergeCell ref="C6:G6"/>
    <mergeCell ref="E8:F8"/>
    <mergeCell ref="E9:F9"/>
    <mergeCell ref="E15:F15"/>
    <mergeCell ref="E16:F16"/>
    <mergeCell ref="E10:F10"/>
    <mergeCell ref="C10:C11"/>
    <mergeCell ref="D10:D11"/>
    <mergeCell ref="E11:F11"/>
    <mergeCell ref="E12:F12"/>
    <mergeCell ref="D12:D14"/>
    <mergeCell ref="C12:C14"/>
    <mergeCell ref="E13:F13"/>
    <mergeCell ref="E14:F14"/>
  </mergeCells>
  <dataValidations disablePrompts="1" count="2">
    <dataValidation type="list" allowBlank="1" showInputMessage="1" showErrorMessage="1" sqref="G7" xr:uid="{2416962B-6C8B-4E89-BE16-3EF1B04E25D7}">
      <formula1>INDIRECT("ConstructionType")</formula1>
    </dataValidation>
    <dataValidation type="list" allowBlank="1" showInputMessage="1" showErrorMessage="1" sqref="G7" xr:uid="{7754AADC-A4BA-4936-8A6A-533BE9972A6C}">
      <formula1>INDIRECT("SecondaryBuildingUse")</formula1>
    </dataValidation>
  </dataValidation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499984740745262"/>
  </sheetPr>
  <dimension ref="A1:FN1048576"/>
  <sheetViews>
    <sheetView topLeftCell="CG11" workbookViewId="0">
      <selection activeCell="CL25" sqref="CL25"/>
    </sheetView>
  </sheetViews>
  <sheetFormatPr defaultColWidth="10.7109375" defaultRowHeight="15"/>
  <cols>
    <col min="1" max="1" width="29" style="28" bestFit="1" customWidth="1"/>
    <col min="2" max="2" width="3.42578125" style="28" customWidth="1"/>
    <col min="3" max="3" width="26.42578125" style="86" bestFit="1" customWidth="1"/>
    <col min="4" max="4" width="26.42578125" style="86" customWidth="1"/>
    <col min="5" max="5" width="3.42578125" style="28" customWidth="1"/>
    <col min="6" max="6" width="26.42578125" style="86" bestFit="1" customWidth="1"/>
    <col min="7" max="8" width="26.42578125" style="86" customWidth="1"/>
    <col min="9" max="9" width="13.42578125" style="86" customWidth="1"/>
    <col min="10" max="10" width="3.42578125" style="28" customWidth="1"/>
    <col min="11" max="11" width="26.42578125" style="86" bestFit="1" customWidth="1"/>
    <col min="12" max="12" width="3.42578125" style="28" customWidth="1"/>
    <col min="13" max="13" width="26.42578125" style="86" customWidth="1"/>
    <col min="14" max="14" width="3.42578125" style="28" customWidth="1"/>
    <col min="15" max="15" width="26.42578125" style="86" customWidth="1"/>
    <col min="16" max="16" width="3.42578125" style="28" customWidth="1"/>
    <col min="17" max="17" width="21.7109375" style="86" bestFit="1" customWidth="1"/>
    <col min="18" max="18" width="3.42578125" style="28" customWidth="1"/>
    <col min="19" max="19" width="13" style="86" customWidth="1"/>
    <col min="20" max="20" width="3.42578125" style="28" customWidth="1"/>
    <col min="21" max="21" width="25.7109375" style="28" customWidth="1"/>
    <col min="22" max="22" width="3.42578125" style="28" customWidth="1"/>
    <col min="23" max="23" width="35.42578125" style="86" bestFit="1" customWidth="1"/>
    <col min="24" max="24" width="30.42578125" style="28" customWidth="1"/>
    <col min="25" max="25" width="3.42578125" style="28" customWidth="1"/>
    <col min="26" max="26" width="27.42578125" style="86" customWidth="1"/>
    <col min="27" max="27" width="30.42578125" style="28" customWidth="1"/>
    <col min="28" max="28" width="3.42578125" style="28" customWidth="1"/>
    <col min="29" max="29" width="22.42578125" style="86" customWidth="1"/>
    <col min="30" max="30" width="25.42578125" style="28" customWidth="1"/>
    <col min="31" max="31" width="3.42578125" style="28" customWidth="1"/>
    <col min="32" max="32" width="35.42578125" style="86" bestFit="1" customWidth="1"/>
    <col min="33" max="33" width="35.42578125" style="90" customWidth="1"/>
    <col min="34" max="34" width="3.42578125" style="28" customWidth="1"/>
    <col min="35" max="35" width="23" style="86" customWidth="1"/>
    <col min="36" max="36" width="18.7109375" style="28" customWidth="1"/>
    <col min="37" max="38" width="3.42578125" style="28" customWidth="1"/>
    <col min="39" max="39" width="29.42578125" style="86" customWidth="1"/>
    <col min="40" max="40" width="3.42578125" style="28" customWidth="1"/>
    <col min="41" max="41" width="32" style="28" customWidth="1"/>
    <col min="42" max="42" width="14.7109375" style="28" customWidth="1"/>
    <col min="43" max="43" width="3.42578125" style="28" customWidth="1"/>
    <col min="44" max="44" width="21.7109375" style="28" customWidth="1"/>
    <col min="45" max="45" width="32.7109375" style="28" customWidth="1"/>
    <col min="46" max="46" width="3.42578125" style="28" customWidth="1"/>
    <col min="47" max="47" width="15" style="86" customWidth="1"/>
    <col min="48" max="48" width="3.42578125" style="28" customWidth="1"/>
    <col min="49" max="49" width="26.28515625" style="28" customWidth="1"/>
    <col min="50" max="50" width="3.42578125" style="28" customWidth="1"/>
    <col min="51" max="51" width="17" style="28" bestFit="1" customWidth="1"/>
    <col min="52" max="53" width="3.42578125" style="28" customWidth="1"/>
    <col min="54" max="54" width="25.7109375" style="86" customWidth="1"/>
    <col min="55" max="55" width="3.42578125" style="28" customWidth="1"/>
    <col min="56" max="56" width="22.7109375" style="86" customWidth="1"/>
    <col min="57" max="57" width="3.42578125" style="28" customWidth="1"/>
    <col min="58" max="58" width="23.5703125" style="28" customWidth="1"/>
    <col min="59" max="59" width="3.42578125" style="28" customWidth="1"/>
    <col min="60" max="60" width="21.42578125" style="86" bestFit="1" customWidth="1"/>
    <col min="61" max="61" width="3.42578125" style="28" customWidth="1"/>
    <col min="62" max="62" width="25.42578125" style="86" bestFit="1" customWidth="1"/>
    <col min="63" max="66" width="8.5703125" style="86" customWidth="1"/>
    <col min="67" max="67" width="3.42578125" style="28" customWidth="1"/>
    <col min="68" max="68" width="16.42578125" style="28" customWidth="1"/>
    <col min="69" max="69" width="3.42578125" style="28" customWidth="1"/>
    <col min="70" max="70" width="13.28515625" style="86" customWidth="1"/>
    <col min="71" max="71" width="3.42578125" style="28" customWidth="1"/>
    <col min="72" max="72" width="13.28515625" style="86" customWidth="1"/>
    <col min="73" max="73" width="3.42578125" style="28" customWidth="1"/>
    <col min="74" max="74" width="13.28515625" style="86" customWidth="1"/>
    <col min="75" max="75" width="3.42578125" style="28" customWidth="1"/>
    <col min="76" max="77" width="13.28515625" style="86" customWidth="1"/>
    <col min="78" max="78" width="3.42578125" style="28" customWidth="1"/>
    <col min="79" max="79" width="13.28515625" style="86" customWidth="1"/>
    <col min="80" max="80" width="3.42578125" style="28" customWidth="1"/>
    <col min="81" max="81" width="13.28515625" style="86" customWidth="1"/>
    <col min="82" max="82" width="3.42578125" style="28" customWidth="1"/>
    <col min="83" max="83" width="18.42578125" style="28" customWidth="1"/>
    <col min="84" max="85" width="10.7109375" style="28"/>
    <col min="86" max="86" width="29.7109375" style="28" customWidth="1"/>
    <col min="87" max="87" width="18.28515625" style="28" customWidth="1"/>
    <col min="88" max="88" width="19.28515625" style="28" customWidth="1"/>
    <col min="89" max="89" width="4.5703125" style="28" customWidth="1"/>
    <col min="90" max="90" width="29.28515625" style="28" customWidth="1"/>
    <col min="91" max="91" width="21.28515625" style="28" customWidth="1"/>
    <col min="92" max="92" width="12.42578125" style="28" customWidth="1"/>
    <col min="93" max="93" width="15.5703125" style="28" customWidth="1"/>
    <col min="94" max="94" width="16.7109375" style="28" customWidth="1"/>
    <col min="95" max="95" width="17.7109375" style="28" customWidth="1"/>
    <col min="96" max="96" width="3.28515625" style="28" customWidth="1"/>
    <col min="97" max="97" width="10.7109375" style="28"/>
    <col min="98" max="98" width="29.7109375" style="28" customWidth="1"/>
    <col min="99" max="99" width="10.7109375" style="28"/>
    <col min="100" max="100" width="18.42578125" style="28" customWidth="1"/>
    <col min="101" max="105" width="10.7109375" style="28"/>
    <col min="106" max="106" width="48.7109375" style="28" bestFit="1" customWidth="1"/>
    <col min="107" max="119" width="10.7109375" style="28"/>
    <col min="120" max="120" width="38.7109375" style="28" customWidth="1"/>
    <col min="121" max="128" width="10.7109375" style="28"/>
    <col min="129" max="129" width="11.5703125" style="28" bestFit="1" customWidth="1"/>
    <col min="130" max="149" width="10.7109375" style="28"/>
    <col min="150" max="150" width="50.7109375" style="28" customWidth="1"/>
    <col min="151" max="151" width="39.85546875" style="28" customWidth="1"/>
    <col min="152" max="153" width="10.7109375" style="28"/>
    <col min="154" max="154" width="12.140625" style="28" customWidth="1"/>
    <col min="155" max="155" width="12.28515625" style="28" customWidth="1"/>
    <col min="156" max="158" width="10.7109375" style="28"/>
    <col min="159" max="159" width="16.140625" style="28" customWidth="1"/>
    <col min="160" max="163" width="10.7109375" style="28"/>
    <col min="164" max="164" width="24" style="28" customWidth="1"/>
    <col min="165" max="165" width="68.140625" customWidth="1"/>
    <col min="166" max="166" width="10.7109375" style="28"/>
    <col min="167" max="167" width="17.28515625" style="28" customWidth="1"/>
    <col min="168" max="16384" width="10.7109375" style="28"/>
  </cols>
  <sheetData>
    <row r="1" spans="1:169" s="73" customFormat="1" ht="105">
      <c r="A1" s="73" t="s">
        <v>20</v>
      </c>
      <c r="C1" s="74" t="s">
        <v>219</v>
      </c>
      <c r="D1" s="73" t="s">
        <v>6</v>
      </c>
      <c r="F1" s="74" t="s">
        <v>220</v>
      </c>
      <c r="G1" s="74" t="s">
        <v>510</v>
      </c>
      <c r="H1" s="73" t="s">
        <v>6</v>
      </c>
      <c r="I1" s="73" t="s">
        <v>221</v>
      </c>
      <c r="K1" s="73" t="s">
        <v>222</v>
      </c>
      <c r="M1" s="73" t="s">
        <v>38</v>
      </c>
      <c r="O1" s="73" t="s">
        <v>39</v>
      </c>
      <c r="Q1" s="75" t="s">
        <v>40</v>
      </c>
      <c r="S1" s="75" t="s">
        <v>45</v>
      </c>
      <c r="U1" s="73" t="s">
        <v>52</v>
      </c>
      <c r="W1" s="76" t="s">
        <v>54</v>
      </c>
      <c r="X1" s="77" t="s">
        <v>6</v>
      </c>
      <c r="Z1" s="76" t="s">
        <v>55</v>
      </c>
      <c r="AA1" s="77" t="s">
        <v>6</v>
      </c>
      <c r="AC1" s="78" t="s">
        <v>56</v>
      </c>
      <c r="AD1" s="79" t="s">
        <v>6</v>
      </c>
      <c r="AF1" s="76" t="s">
        <v>57</v>
      </c>
      <c r="AG1" s="79" t="s">
        <v>6</v>
      </c>
      <c r="AI1" s="78" t="s">
        <v>58</v>
      </c>
      <c r="AJ1" s="79" t="s">
        <v>6</v>
      </c>
      <c r="AM1" s="73" t="s">
        <v>60</v>
      </c>
      <c r="AO1" s="73" t="s">
        <v>61</v>
      </c>
      <c r="AP1" s="73" t="s">
        <v>6</v>
      </c>
      <c r="AR1" s="73" t="s">
        <v>59</v>
      </c>
      <c r="AS1" s="73" t="s">
        <v>6</v>
      </c>
      <c r="AU1" s="73" t="s">
        <v>223</v>
      </c>
      <c r="AW1" s="73" t="s">
        <v>444</v>
      </c>
      <c r="AY1" s="80" t="s">
        <v>224</v>
      </c>
      <c r="BB1" s="73" t="s">
        <v>225</v>
      </c>
      <c r="BD1" s="73" t="s">
        <v>226</v>
      </c>
      <c r="BF1" s="273" t="s">
        <v>1272</v>
      </c>
      <c r="BH1" s="73" t="s">
        <v>227</v>
      </c>
      <c r="BJ1" s="73" t="s">
        <v>228</v>
      </c>
      <c r="BK1" s="500" t="s">
        <v>1327</v>
      </c>
      <c r="BL1" s="501" t="s">
        <v>1328</v>
      </c>
      <c r="BM1" s="501" t="s">
        <v>1329</v>
      </c>
      <c r="BN1" s="501" t="s">
        <v>1330</v>
      </c>
      <c r="BP1" s="81" t="s">
        <v>229</v>
      </c>
      <c r="BR1" s="73" t="s">
        <v>230</v>
      </c>
      <c r="BT1" s="73" t="s">
        <v>433</v>
      </c>
      <c r="BV1" s="73" t="s">
        <v>231</v>
      </c>
      <c r="BX1" s="73" t="s">
        <v>77</v>
      </c>
      <c r="BY1" s="73" t="s">
        <v>232</v>
      </c>
      <c r="CA1" s="73" t="s">
        <v>233</v>
      </c>
      <c r="CC1" s="73" t="s">
        <v>102</v>
      </c>
      <c r="CE1" s="73" t="s">
        <v>234</v>
      </c>
      <c r="CH1" s="486"/>
      <c r="CI1" s="486"/>
      <c r="CJ1" s="486"/>
      <c r="CK1" s="486"/>
      <c r="CL1" s="488" t="s">
        <v>235</v>
      </c>
      <c r="CM1" s="486"/>
      <c r="CN1" s="486"/>
      <c r="CO1" s="486"/>
      <c r="CP1" s="486"/>
      <c r="CQ1" s="487"/>
      <c r="CT1" s="73" t="s">
        <v>425</v>
      </c>
      <c r="CV1" s="73" t="s">
        <v>236</v>
      </c>
      <c r="CX1" s="73" t="s">
        <v>236</v>
      </c>
      <c r="CZ1" s="73" t="s">
        <v>1207</v>
      </c>
      <c r="DB1" s="73" t="s">
        <v>237</v>
      </c>
      <c r="DD1" s="349" t="s">
        <v>1047</v>
      </c>
      <c r="DE1" s="28"/>
      <c r="DF1" s="349" t="s">
        <v>1264</v>
      </c>
      <c r="DI1" s="273" t="s">
        <v>1565</v>
      </c>
      <c r="DK1" s="273" t="s">
        <v>570</v>
      </c>
      <c r="DL1" s="273" t="s">
        <v>571</v>
      </c>
      <c r="DM1" s="273" t="s">
        <v>573</v>
      </c>
      <c r="DN1" s="273" t="s">
        <v>100</v>
      </c>
      <c r="DP1" s="273" t="s">
        <v>1062</v>
      </c>
      <c r="DQ1" s="273" t="s">
        <v>1077</v>
      </c>
      <c r="DR1" s="273" t="s">
        <v>1078</v>
      </c>
      <c r="DS1" s="273" t="s">
        <v>1066</v>
      </c>
      <c r="DT1" s="273" t="s">
        <v>1079</v>
      </c>
      <c r="DU1" s="273" t="s">
        <v>1080</v>
      </c>
      <c r="DV1" s="273" t="s">
        <v>1079</v>
      </c>
      <c r="DW1" s="273" t="s">
        <v>1080</v>
      </c>
      <c r="DX1" s="273" t="s">
        <v>1020</v>
      </c>
      <c r="EE1" s="273" t="s">
        <v>1170</v>
      </c>
      <c r="EF1" s="273" t="s">
        <v>1182</v>
      </c>
      <c r="EG1" s="273" t="s">
        <v>1137</v>
      </c>
      <c r="EH1" s="273" t="s">
        <v>1066</v>
      </c>
      <c r="EQ1" s="349" t="s">
        <v>1043</v>
      </c>
      <c r="ES1" s="273" t="s">
        <v>579</v>
      </c>
      <c r="ET1" s="273" t="s">
        <v>633</v>
      </c>
      <c r="EU1" s="273" t="s">
        <v>634</v>
      </c>
      <c r="EV1" s="273" t="s">
        <v>577</v>
      </c>
      <c r="EW1" s="273" t="s">
        <v>670</v>
      </c>
      <c r="EX1" s="273" t="s">
        <v>578</v>
      </c>
      <c r="EY1" s="273" t="s">
        <v>671</v>
      </c>
      <c r="FF1" s="273" t="s">
        <v>1012</v>
      </c>
      <c r="FG1" s="273" t="s">
        <v>579</v>
      </c>
      <c r="FH1" s="273" t="s">
        <v>1029</v>
      </c>
      <c r="FI1" s="273" t="s">
        <v>634</v>
      </c>
      <c r="FJ1" s="273" t="s">
        <v>1028</v>
      </c>
      <c r="FK1" s="273" t="s">
        <v>1027</v>
      </c>
      <c r="FL1" s="273" t="s">
        <v>578</v>
      </c>
      <c r="FM1" s="273" t="s">
        <v>671</v>
      </c>
    </row>
    <row r="2" spans="1:169" ht="15.75">
      <c r="A2" s="28" t="s">
        <v>238</v>
      </c>
      <c r="C2" s="82" t="s">
        <v>112</v>
      </c>
      <c r="D2" s="83" t="s">
        <v>239</v>
      </c>
      <c r="F2" s="82" t="s">
        <v>240</v>
      </c>
      <c r="G2" s="213" t="s">
        <v>515</v>
      </c>
      <c r="H2" s="83"/>
      <c r="I2" s="84">
        <v>0.05</v>
      </c>
      <c r="K2" s="85" t="s">
        <v>241</v>
      </c>
      <c r="M2" s="86" t="s">
        <v>492</v>
      </c>
      <c r="O2" s="86" t="s">
        <v>242</v>
      </c>
      <c r="Q2" s="86" t="s">
        <v>243</v>
      </c>
      <c r="S2" s="86" t="s">
        <v>244</v>
      </c>
      <c r="U2" s="28" t="s">
        <v>245</v>
      </c>
      <c r="W2" s="87" t="s">
        <v>123</v>
      </c>
      <c r="X2" s="88" t="s">
        <v>246</v>
      </c>
      <c r="Z2" s="87" t="s">
        <v>145</v>
      </c>
      <c r="AA2" s="89" t="s">
        <v>247</v>
      </c>
      <c r="AC2" s="90" t="s">
        <v>163</v>
      </c>
      <c r="AD2" s="91" t="s">
        <v>248</v>
      </c>
      <c r="AF2" s="87" t="s">
        <v>181</v>
      </c>
      <c r="AG2" s="91" t="s">
        <v>249</v>
      </c>
      <c r="AI2" s="92" t="s">
        <v>186</v>
      </c>
      <c r="AJ2" s="93" t="s">
        <v>250</v>
      </c>
      <c r="AM2" s="86" t="s">
        <v>251</v>
      </c>
      <c r="AO2" s="86" t="s">
        <v>206</v>
      </c>
      <c r="AP2" s="28" t="s">
        <v>207</v>
      </c>
      <c r="AR2" s="86" t="s">
        <v>194</v>
      </c>
      <c r="AS2" s="28" t="s">
        <v>195</v>
      </c>
      <c r="AU2" s="86">
        <v>2000</v>
      </c>
      <c r="AW2" s="86" t="s">
        <v>462</v>
      </c>
      <c r="AY2" s="28" t="s">
        <v>81</v>
      </c>
      <c r="BB2" s="86" t="s">
        <v>1374</v>
      </c>
      <c r="BD2" s="86" t="s">
        <v>252</v>
      </c>
      <c r="BF2" s="278" t="s">
        <v>1274</v>
      </c>
      <c r="BH2" s="86" t="s">
        <v>253</v>
      </c>
      <c r="BJ2" s="86" t="s">
        <v>254</v>
      </c>
      <c r="BK2" s="86" t="s">
        <v>81</v>
      </c>
      <c r="BL2" s="86" t="s">
        <v>81</v>
      </c>
      <c r="BM2" s="86" t="s">
        <v>81</v>
      </c>
      <c r="BN2" s="86" t="s">
        <v>81</v>
      </c>
      <c r="BP2" s="85" t="s">
        <v>255</v>
      </c>
      <c r="BR2" s="86" t="s">
        <v>81</v>
      </c>
      <c r="BT2" s="86" t="s">
        <v>81</v>
      </c>
      <c r="BV2" s="86" t="s">
        <v>256</v>
      </c>
      <c r="BX2" s="86" t="s">
        <v>439</v>
      </c>
      <c r="BY2" s="94">
        <v>0.04</v>
      </c>
      <c r="CA2" s="86" t="s">
        <v>81</v>
      </c>
      <c r="CC2" s="86" t="s">
        <v>257</v>
      </c>
      <c r="CE2" s="28" t="s">
        <v>258</v>
      </c>
      <c r="CH2" s="238" t="s">
        <v>518</v>
      </c>
      <c r="CI2" s="239" t="s">
        <v>534</v>
      </c>
      <c r="CJ2" s="97"/>
      <c r="CK2" s="102"/>
      <c r="CL2" s="240" t="s">
        <v>527</v>
      </c>
      <c r="CM2" s="240" t="s">
        <v>535</v>
      </c>
      <c r="CN2" s="240" t="s">
        <v>530</v>
      </c>
      <c r="CO2" s="97"/>
      <c r="CP2" s="97"/>
      <c r="CQ2" s="241"/>
      <c r="CT2" s="98" t="s">
        <v>258</v>
      </c>
      <c r="CV2" s="28" t="s">
        <v>426</v>
      </c>
      <c r="CX2" s="28" t="s">
        <v>426</v>
      </c>
      <c r="CZ2" s="28" t="s">
        <v>455</v>
      </c>
      <c r="DB2" s="570" t="s">
        <v>1418</v>
      </c>
      <c r="DD2" s="350" t="s">
        <v>1048</v>
      </c>
      <c r="DF2" s="350" t="s">
        <v>1538</v>
      </c>
      <c r="DG2" s="28">
        <f>IF(DF2='7. ILCs - Design '!I206,1,IF('Backend (to be hidden)'!DF3='7. ILCs - Design '!I206,2,IF('Backend (to be hidden)'!DF4='7. ILCs - Design '!I206,3,0)))</f>
        <v>3</v>
      </c>
      <c r="DI2" s="274">
        <v>15</v>
      </c>
      <c r="DK2" s="274">
        <v>15</v>
      </c>
      <c r="DL2" s="274" t="s">
        <v>75</v>
      </c>
      <c r="DM2" s="274" t="str">
        <f>DK2&amp;DL2</f>
        <v>15No</v>
      </c>
      <c r="DN2" s="277">
        <v>179.42</v>
      </c>
      <c r="DP2" s="274" t="s">
        <v>1063</v>
      </c>
      <c r="DQ2" s="274">
        <v>0.32500000000000001</v>
      </c>
      <c r="DR2" s="274" t="s">
        <v>1065</v>
      </c>
      <c r="DS2" s="274" t="s">
        <v>1067</v>
      </c>
      <c r="DT2" s="367">
        <f>DV2/2.4</f>
        <v>0.11005621733585688</v>
      </c>
      <c r="DU2" s="274" t="s">
        <v>1081</v>
      </c>
      <c r="DV2" s="367">
        <f>DQ2/CONVERT(1,"yd^3","m^3")/CONVERT(1,"mi","km")</f>
        <v>0.26413492160605651</v>
      </c>
      <c r="DW2" s="274" t="s">
        <v>1071</v>
      </c>
      <c r="DX2" s="370" t="s">
        <v>1082</v>
      </c>
      <c r="EE2" s="274" t="s">
        <v>1181</v>
      </c>
      <c r="EF2" s="274">
        <v>1.0999999999999999E-2</v>
      </c>
      <c r="EG2" s="274" t="s">
        <v>1183</v>
      </c>
      <c r="EH2" s="274" t="s">
        <v>1067</v>
      </c>
      <c r="EQ2" s="274" t="s">
        <v>1044</v>
      </c>
      <c r="EU2" s="296" t="s">
        <v>1018</v>
      </c>
      <c r="FA2" s="28" t="s">
        <v>653</v>
      </c>
      <c r="FI2" s="296" t="s">
        <v>1018</v>
      </c>
    </row>
    <row r="3" spans="1:169" ht="18">
      <c r="A3" s="28" t="s">
        <v>21</v>
      </c>
      <c r="C3" s="85" t="s">
        <v>114</v>
      </c>
      <c r="D3" s="83" t="s">
        <v>115</v>
      </c>
      <c r="F3" s="85" t="s">
        <v>262</v>
      </c>
      <c r="G3" s="212" t="s">
        <v>511</v>
      </c>
      <c r="H3" s="83"/>
      <c r="I3" s="84">
        <v>0.1</v>
      </c>
      <c r="K3" s="85" t="s">
        <v>114</v>
      </c>
      <c r="M3" s="86" t="s">
        <v>493</v>
      </c>
      <c r="O3" s="86" t="s">
        <v>263</v>
      </c>
      <c r="Q3" s="86" t="s">
        <v>441</v>
      </c>
      <c r="S3" s="86" t="s">
        <v>264</v>
      </c>
      <c r="U3" s="28" t="s">
        <v>265</v>
      </c>
      <c r="W3" s="99" t="s">
        <v>125</v>
      </c>
      <c r="X3" s="100" t="s">
        <v>266</v>
      </c>
      <c r="Z3" s="99" t="s">
        <v>127</v>
      </c>
      <c r="AA3" s="83" t="s">
        <v>267</v>
      </c>
      <c r="AC3" s="90" t="s">
        <v>165</v>
      </c>
      <c r="AD3" s="91" t="s">
        <v>268</v>
      </c>
      <c r="AF3" s="99" t="s">
        <v>182</v>
      </c>
      <c r="AG3" s="91" t="s">
        <v>269</v>
      </c>
      <c r="AI3" s="92" t="s">
        <v>270</v>
      </c>
      <c r="AJ3" s="93" t="s">
        <v>271</v>
      </c>
      <c r="AM3" s="86" t="s">
        <v>272</v>
      </c>
      <c r="AO3" s="86" t="s">
        <v>208</v>
      </c>
      <c r="AP3" s="28" t="s">
        <v>209</v>
      </c>
      <c r="AR3" s="86" t="s">
        <v>196</v>
      </c>
      <c r="AS3" s="28" t="s">
        <v>197</v>
      </c>
      <c r="AU3" s="86">
        <v>3000</v>
      </c>
      <c r="AW3" s="86" t="s">
        <v>463</v>
      </c>
      <c r="AY3" s="28" t="s">
        <v>75</v>
      </c>
      <c r="BB3" s="86" t="s">
        <v>1375</v>
      </c>
      <c r="BD3" s="86" t="s">
        <v>273</v>
      </c>
      <c r="BF3" s="277" t="s">
        <v>1273</v>
      </c>
      <c r="BH3" s="86" t="s">
        <v>274</v>
      </c>
      <c r="BJ3" s="86" t="s">
        <v>1319</v>
      </c>
      <c r="BK3" s="86" t="s">
        <v>75</v>
      </c>
      <c r="BL3" s="86" t="s">
        <v>75</v>
      </c>
      <c r="BM3" s="86" t="s">
        <v>75</v>
      </c>
      <c r="BN3" s="86" t="s">
        <v>75</v>
      </c>
      <c r="BP3" s="86" t="s">
        <v>275</v>
      </c>
      <c r="BR3" s="86" t="s">
        <v>75</v>
      </c>
      <c r="BT3" s="86" t="s">
        <v>75</v>
      </c>
      <c r="BV3" s="86" t="s">
        <v>276</v>
      </c>
      <c r="BX3" s="86" t="s">
        <v>440</v>
      </c>
      <c r="BY3" s="94">
        <v>0.06</v>
      </c>
      <c r="CA3" s="86" t="s">
        <v>75</v>
      </c>
      <c r="CC3" s="86" t="s">
        <v>278</v>
      </c>
      <c r="CE3" s="28" t="s">
        <v>279</v>
      </c>
      <c r="CH3" s="230" t="s">
        <v>519</v>
      </c>
      <c r="CI3" s="216">
        <f>IF('2. Project Info'!D19="","",'2. Project Info'!D19)</f>
        <v>45931</v>
      </c>
      <c r="CJ3" s="102"/>
      <c r="CK3" s="102"/>
      <c r="CL3" s="226" t="s">
        <v>528</v>
      </c>
      <c r="CM3" s="223">
        <f>IFERROR(IF(OR(CI7=CL11,AND(CI7=CL12,OR(NOT(CI8=BT2),CI9=BV2,CI9=""))),IF(OR($CI$14=0,ISERROR(CI14)),"",IF(CI10="Yes",$CI$14+$CI$18,$CI$14)),IF(CI9=BV3,IF(OR($CI$16=0,ISERROR(CI16)),"",IF($CI$10="Yes",$CI$18+$CI$16,$CI$16)),IF(AND(CI7=CL12,CI9=BV4),IF(OR($CI$15=0,ISERROR(CI15)),"",IF($CI$10="Yes",$CI$18+$CI$15,$CI$15)),""))),"")</f>
        <v>935517.93279809714</v>
      </c>
      <c r="CN3" s="218" t="str" cm="1">
        <f t="array" aca="1" ref="CN3" ca="1">CELL("address",'4. Results &amp; Compliance'!E32)</f>
        <v>'[city-of-vancouver-embodied-carbon-design-report-v2.0-sample.xlsx]4. Results &amp; Compliance'!$E$32</v>
      </c>
      <c r="CO3" s="102"/>
      <c r="CQ3" s="104"/>
      <c r="CS3" s="253"/>
      <c r="CT3" s="28" t="s">
        <v>279</v>
      </c>
      <c r="CV3" s="28" t="s">
        <v>280</v>
      </c>
      <c r="CX3" s="105" t="s">
        <v>179</v>
      </c>
      <c r="CY3" s="105"/>
      <c r="CZ3" s="105" t="s">
        <v>1208</v>
      </c>
      <c r="DB3" s="570" t="s">
        <v>1419</v>
      </c>
      <c r="DD3" s="351"/>
      <c r="DE3" s="351"/>
      <c r="DF3" s="351" t="s">
        <v>1537</v>
      </c>
      <c r="DI3" s="275">
        <v>20</v>
      </c>
      <c r="DK3" s="275">
        <v>20</v>
      </c>
      <c r="DL3" s="275" t="s">
        <v>81</v>
      </c>
      <c r="DM3" s="275" t="str">
        <f t="shared" ref="DM3:DM22" si="0">DK3&amp;DL3</f>
        <v>20Yes</v>
      </c>
      <c r="DN3" s="278">
        <v>193.86</v>
      </c>
      <c r="DP3" s="274" t="s">
        <v>1116</v>
      </c>
      <c r="DQ3" s="274">
        <v>0.186</v>
      </c>
      <c r="DR3" s="274" t="s">
        <v>1076</v>
      </c>
      <c r="DS3" s="274" t="s">
        <v>1068</v>
      </c>
      <c r="DT3" s="367">
        <f>DQ3/CONVERT(1,"mi","km")/907.185*1000</f>
        <v>0.1273996392754996</v>
      </c>
      <c r="DU3" s="274" t="s">
        <v>1081</v>
      </c>
      <c r="EE3" s="275" t="s">
        <v>1184</v>
      </c>
      <c r="EF3" s="275">
        <v>0.18</v>
      </c>
      <c r="EG3" s="275" t="s">
        <v>1183</v>
      </c>
      <c r="EH3" s="275" t="s">
        <v>1067</v>
      </c>
      <c r="EQ3" s="275" t="s">
        <v>1045</v>
      </c>
      <c r="ES3" s="280" t="s">
        <v>580</v>
      </c>
      <c r="ET3" s="284" t="s">
        <v>647</v>
      </c>
      <c r="EU3" s="286" t="s">
        <v>1518</v>
      </c>
      <c r="EV3" s="293">
        <v>27.01</v>
      </c>
      <c r="EW3" s="294" t="s">
        <v>562</v>
      </c>
      <c r="EX3" s="297">
        <f>EV3/0.017</f>
        <v>1588.8235294117646</v>
      </c>
      <c r="EY3" s="573" t="s">
        <v>1005</v>
      </c>
      <c r="FA3" s="233" t="s">
        <v>655</v>
      </c>
      <c r="FB3" s="233" t="s">
        <v>654</v>
      </c>
      <c r="FC3" s="233"/>
      <c r="FD3" s="233" t="s">
        <v>651</v>
      </c>
      <c r="FF3" s="28" t="s">
        <v>1013</v>
      </c>
      <c r="FG3" s="309" t="s">
        <v>739</v>
      </c>
      <c r="FH3" s="343" t="s">
        <v>896</v>
      </c>
      <c r="FI3" s="496" t="str">
        <f t="shared" ref="FI3:FI34" si="1">FH3</f>
        <v>Bamboo beams / MOSO / Bamboo Solid Beams / High Density</v>
      </c>
      <c r="FJ3" s="314">
        <v>1394.37</v>
      </c>
      <c r="FK3" s="312" t="s">
        <v>1005</v>
      </c>
      <c r="FL3" s="299">
        <f>FJ3</f>
        <v>1394.37</v>
      </c>
      <c r="FM3" s="298" t="s">
        <v>1005</v>
      </c>
    </row>
    <row r="4" spans="1:169" ht="31.5">
      <c r="A4" s="28" t="s">
        <v>281</v>
      </c>
      <c r="C4" s="82" t="s">
        <v>116</v>
      </c>
      <c r="D4" s="83" t="s">
        <v>282</v>
      </c>
      <c r="F4" s="82" t="s">
        <v>329</v>
      </c>
      <c r="G4" s="211" t="s">
        <v>512</v>
      </c>
      <c r="H4" s="83"/>
      <c r="I4" s="84">
        <v>0.15</v>
      </c>
      <c r="K4" s="85" t="s">
        <v>283</v>
      </c>
      <c r="M4" s="86" t="s">
        <v>494</v>
      </c>
      <c r="O4" s="86" t="s">
        <v>284</v>
      </c>
      <c r="S4" s="86" t="s">
        <v>285</v>
      </c>
      <c r="U4" s="28" t="s">
        <v>286</v>
      </c>
      <c r="W4" s="106" t="s">
        <v>127</v>
      </c>
      <c r="X4" s="100" t="s">
        <v>287</v>
      </c>
      <c r="Z4" s="106" t="s">
        <v>129</v>
      </c>
      <c r="AA4" s="83" t="s">
        <v>288</v>
      </c>
      <c r="AC4" s="90" t="s">
        <v>129</v>
      </c>
      <c r="AD4" s="91" t="s">
        <v>289</v>
      </c>
      <c r="AF4" s="106" t="s">
        <v>184</v>
      </c>
      <c r="AG4" s="91" t="s">
        <v>290</v>
      </c>
      <c r="AI4" s="92" t="s">
        <v>291</v>
      </c>
      <c r="AJ4" s="93" t="s">
        <v>292</v>
      </c>
      <c r="AM4" s="86" t="s">
        <v>293</v>
      </c>
      <c r="AO4" s="86" t="s">
        <v>210</v>
      </c>
      <c r="AP4" s="28" t="s">
        <v>211</v>
      </c>
      <c r="AR4" s="86" t="s">
        <v>198</v>
      </c>
      <c r="AS4" s="28" t="s">
        <v>199</v>
      </c>
      <c r="AU4" s="86">
        <v>4000</v>
      </c>
      <c r="AW4" s="86" t="s">
        <v>464</v>
      </c>
      <c r="BB4" s="86" t="s">
        <v>1376</v>
      </c>
      <c r="BD4" s="86" t="s">
        <v>295</v>
      </c>
      <c r="BH4" s="86" t="s">
        <v>296</v>
      </c>
      <c r="BJ4" s="86" t="s">
        <v>1316</v>
      </c>
      <c r="BK4" s="86" t="s">
        <v>81</v>
      </c>
      <c r="BL4" s="86" t="s">
        <v>81</v>
      </c>
      <c r="BM4" s="86" t="s">
        <v>81</v>
      </c>
      <c r="BN4" s="86" t="s">
        <v>81</v>
      </c>
      <c r="BT4" s="86" t="str">
        <f>""</f>
        <v/>
      </c>
      <c r="BV4" s="86" t="s">
        <v>543</v>
      </c>
      <c r="BX4" s="86" t="s">
        <v>277</v>
      </c>
      <c r="BY4" s="94">
        <v>0.1</v>
      </c>
      <c r="CE4" s="107" t="s">
        <v>298</v>
      </c>
      <c r="CH4" s="230" t="s">
        <v>520</v>
      </c>
      <c r="CI4" s="237">
        <f>IF('2. Project Info'!D41="","",'2. Project Info'!D41)</f>
        <v>5000</v>
      </c>
      <c r="CJ4" s="102"/>
      <c r="CK4" s="102"/>
      <c r="CL4" s="226" t="s">
        <v>100</v>
      </c>
      <c r="CM4" s="223" t="b">
        <f>IF(CI7=CL12,IF(OR(CI9=BV2,CI9=""),CJ14,IF(CI9="Partial",CJ15,IF(CI9=BV3,CJ16,""))))</f>
        <v>0</v>
      </c>
      <c r="CN4" s="218"/>
      <c r="CO4" s="102" t="s">
        <v>544</v>
      </c>
      <c r="CQ4" s="104"/>
      <c r="CS4" s="253"/>
      <c r="CT4" s="28" t="s">
        <v>300</v>
      </c>
      <c r="CV4" s="105" t="s">
        <v>179</v>
      </c>
      <c r="DB4" s="570" t="s">
        <v>338</v>
      </c>
      <c r="DF4" s="351" t="s">
        <v>1536</v>
      </c>
      <c r="DI4" s="274">
        <v>25</v>
      </c>
      <c r="DK4" s="274">
        <v>20</v>
      </c>
      <c r="DL4" s="274" t="s">
        <v>75</v>
      </c>
      <c r="DM4" s="274" t="str">
        <f t="shared" si="0"/>
        <v>20No</v>
      </c>
      <c r="DN4" s="277">
        <v>194.73</v>
      </c>
      <c r="DP4" s="275" t="s">
        <v>1248</v>
      </c>
      <c r="DQ4" s="275">
        <v>1.298</v>
      </c>
      <c r="DR4" s="275" t="s">
        <v>1074</v>
      </c>
      <c r="DS4" s="275" t="s">
        <v>1068</v>
      </c>
      <c r="DT4" s="368">
        <f>DQ4/CONVERT(1,"mi","km")</f>
        <v>0.80653980752405952</v>
      </c>
      <c r="DU4" s="275" t="s">
        <v>1075</v>
      </c>
      <c r="EE4" s="274" t="s">
        <v>1186</v>
      </c>
      <c r="EF4" s="274">
        <v>1.544</v>
      </c>
      <c r="EG4" s="274" t="s">
        <v>1190</v>
      </c>
      <c r="EH4" s="274" t="s">
        <v>1068</v>
      </c>
      <c r="ES4" s="280" t="s">
        <v>584</v>
      </c>
      <c r="ET4" s="284" t="s">
        <v>636</v>
      </c>
      <c r="EU4" s="286" t="s">
        <v>658</v>
      </c>
      <c r="EV4" s="281">
        <v>3.1</v>
      </c>
      <c r="EW4" s="28" t="s">
        <v>576</v>
      </c>
      <c r="EX4" s="299">
        <f>EV4*3.7/5.679/CONVERT(1,"in","m")</f>
        <v>79.516605590703691</v>
      </c>
      <c r="EY4" s="573" t="s">
        <v>1005</v>
      </c>
      <c r="EZ4" s="292" t="s">
        <v>656</v>
      </c>
      <c r="FA4" s="28" t="s">
        <v>648</v>
      </c>
      <c r="FB4" s="28" t="s">
        <v>649</v>
      </c>
      <c r="FC4" s="28" t="s">
        <v>650</v>
      </c>
      <c r="FD4" s="28" t="s">
        <v>652</v>
      </c>
      <c r="FF4" s="28" t="s">
        <v>1013</v>
      </c>
      <c r="FG4" s="280" t="s">
        <v>675</v>
      </c>
      <c r="FH4" s="343" t="s">
        <v>837</v>
      </c>
      <c r="FI4" s="496" t="str">
        <f t="shared" si="1"/>
        <v xml:space="preserve">Bamboo Cladding / Dasso / dassoCTECH outdoor oiled Cladding / Shiplap, 5/8" (18 mm) </v>
      </c>
      <c r="FJ4" s="313">
        <v>30.490019999999994</v>
      </c>
      <c r="FK4" s="312" t="s">
        <v>994</v>
      </c>
      <c r="FL4" s="299">
        <f>FJ4/(CONVERT((5/8),"in","m"))</f>
        <v>1920.6311811023618</v>
      </c>
      <c r="FM4" s="298" t="s">
        <v>1005</v>
      </c>
    </row>
    <row r="5" spans="1:169" ht="31.5">
      <c r="A5" s="28" t="s">
        <v>302</v>
      </c>
      <c r="C5" s="85" t="s">
        <v>118</v>
      </c>
      <c r="D5" s="83" t="s">
        <v>119</v>
      </c>
      <c r="F5" s="85" t="s">
        <v>303</v>
      </c>
      <c r="G5" s="211" t="s">
        <v>513</v>
      </c>
      <c r="H5" s="83"/>
      <c r="I5" s="84">
        <v>0.2</v>
      </c>
      <c r="K5" s="85" t="s">
        <v>262</v>
      </c>
      <c r="M5" s="86" t="s">
        <v>495</v>
      </c>
      <c r="O5" s="86" t="s">
        <v>304</v>
      </c>
      <c r="S5" s="86" t="s">
        <v>305</v>
      </c>
      <c r="U5" s="28" t="s">
        <v>306</v>
      </c>
      <c r="W5" s="99" t="s">
        <v>129</v>
      </c>
      <c r="X5" s="100" t="s">
        <v>307</v>
      </c>
      <c r="Z5" s="99" t="s">
        <v>149</v>
      </c>
      <c r="AA5" s="83" t="s">
        <v>308</v>
      </c>
      <c r="AC5" s="90" t="s">
        <v>167</v>
      </c>
      <c r="AD5" s="91" t="s">
        <v>309</v>
      </c>
      <c r="AI5" s="92" t="s">
        <v>192</v>
      </c>
      <c r="AJ5" s="93" t="s">
        <v>310</v>
      </c>
      <c r="AM5" s="86" t="s">
        <v>311</v>
      </c>
      <c r="AO5" s="86" t="s">
        <v>212</v>
      </c>
      <c r="AP5" s="28" t="s">
        <v>213</v>
      </c>
      <c r="AR5" s="86" t="s">
        <v>200</v>
      </c>
      <c r="AS5" s="28" t="s">
        <v>201</v>
      </c>
      <c r="AU5" s="86">
        <v>5000</v>
      </c>
      <c r="AW5" s="86" t="s">
        <v>179</v>
      </c>
      <c r="BB5" s="86" t="s">
        <v>294</v>
      </c>
      <c r="BD5" s="86" t="s">
        <v>313</v>
      </c>
      <c r="BH5" s="86" t="s">
        <v>314</v>
      </c>
      <c r="BJ5" s="86" t="s">
        <v>315</v>
      </c>
      <c r="BK5" s="86" t="s">
        <v>81</v>
      </c>
      <c r="BL5" s="86" t="s">
        <v>75</v>
      </c>
      <c r="BM5" s="86" t="s">
        <v>75</v>
      </c>
      <c r="BN5" s="86" t="s">
        <v>75</v>
      </c>
      <c r="BX5" s="86" t="s">
        <v>297</v>
      </c>
      <c r="BY5" s="94">
        <v>0.05</v>
      </c>
      <c r="CE5" s="28" t="s">
        <v>179</v>
      </c>
      <c r="CH5" s="230" t="s">
        <v>72</v>
      </c>
      <c r="CI5" s="217" t="str">
        <f>IF('3. EC Modelling Info'!D19="","",'3. EC Modelling Info'!D19)</f>
        <v>Athena Impact Estimator</v>
      </c>
      <c r="CJ5" s="102"/>
      <c r="CK5" s="102"/>
      <c r="CL5" s="226" t="s">
        <v>90</v>
      </c>
      <c r="CM5" s="223">
        <f>IFERROR(IF(CI7=$CL$11,$CQ$11*CI4,IF(CI7=$CL$12,IF(OR(CI8="",CI8=$BR$3,CI9=$BV$2, CI9=""),IF($CJ$14=0,"",$CJ$14),IF(CI9=$BV$3,IF($CJ$16=0,"",$CJ$16),IF(CI9=$BV$4,IF($CJ$15=0,"",$CJ$15),""))),"")),"")</f>
        <v>2000000</v>
      </c>
      <c r="CN5" s="218" t="str" cm="1">
        <f t="array" aca="1" ref="CN5" ca="1">CELL("address",'4. Results &amp; Compliance'!G32)</f>
        <v>'[city-of-vancouver-embodied-carbon-design-report-v2.0-sample.xlsx]4. Results &amp; Compliance'!$G$32</v>
      </c>
      <c r="CO5" s="102"/>
      <c r="CP5" s="102"/>
      <c r="CQ5" s="104"/>
      <c r="CT5" s="28" t="s">
        <v>179</v>
      </c>
      <c r="DB5" s="570" t="s">
        <v>1420</v>
      </c>
      <c r="DI5" s="275">
        <v>30</v>
      </c>
      <c r="DK5" s="275">
        <v>25</v>
      </c>
      <c r="DL5" s="275" t="s">
        <v>81</v>
      </c>
      <c r="DM5" s="275" t="str">
        <f t="shared" si="0"/>
        <v>25Yes</v>
      </c>
      <c r="DN5" s="278">
        <v>230.52</v>
      </c>
      <c r="DP5" s="275" t="s">
        <v>1247</v>
      </c>
      <c r="DQ5" s="275">
        <v>0.39400000000000002</v>
      </c>
      <c r="DR5" s="275" t="s">
        <v>1074</v>
      </c>
      <c r="DS5" s="275" t="s">
        <v>1068</v>
      </c>
      <c r="DT5" s="368">
        <f>DQ5/CONVERT(1,"mi","km")</f>
        <v>0.24482024974150957</v>
      </c>
      <c r="DU5" s="275" t="s">
        <v>1075</v>
      </c>
      <c r="EE5" s="275" t="s">
        <v>1187</v>
      </c>
      <c r="EF5" s="275">
        <v>2.6890000000000001</v>
      </c>
      <c r="EG5" s="275" t="s">
        <v>1190</v>
      </c>
      <c r="EH5" s="275" t="s">
        <v>1068</v>
      </c>
      <c r="ES5" s="280" t="s">
        <v>585</v>
      </c>
      <c r="ET5" s="284" t="s">
        <v>637</v>
      </c>
      <c r="EU5" s="286" t="s">
        <v>659</v>
      </c>
      <c r="EV5" s="281">
        <v>1.349583010897297</v>
      </c>
      <c r="EW5" s="28" t="s">
        <v>576</v>
      </c>
      <c r="EX5" s="299">
        <f>EV5*3.7/5.679/CONVERT(1,"in","m")</f>
        <v>34.617503222398305</v>
      </c>
      <c r="EY5" s="573" t="s">
        <v>1005</v>
      </c>
      <c r="FF5" s="28" t="s">
        <v>1013</v>
      </c>
      <c r="FG5" s="280" t="s">
        <v>676</v>
      </c>
      <c r="FH5" s="343" t="s">
        <v>838</v>
      </c>
      <c r="FI5" s="496" t="str">
        <f t="shared" si="1"/>
        <v xml:space="preserve">Bamboo Cladding / Dasso / dassoXTR Bamboo RainClad® Siding / Shiplap, 3/4'' (19 mm) </v>
      </c>
      <c r="FJ5" s="313">
        <v>29.609197200000001</v>
      </c>
      <c r="FK5" s="312" t="s">
        <v>995</v>
      </c>
      <c r="FL5" s="299">
        <f>FJ5/(CONVERT((3/4),"in","m"))</f>
        <v>1554.2885669291338</v>
      </c>
      <c r="FM5" s="298" t="s">
        <v>1005</v>
      </c>
    </row>
    <row r="6" spans="1:169" ht="15.75">
      <c r="A6" s="28" t="s">
        <v>317</v>
      </c>
      <c r="C6" s="82" t="s">
        <v>120</v>
      </c>
      <c r="D6" s="83" t="s">
        <v>121</v>
      </c>
      <c r="F6" s="82" t="s">
        <v>318</v>
      </c>
      <c r="G6" s="85" t="s">
        <v>514</v>
      </c>
      <c r="H6" s="83"/>
      <c r="I6" s="84">
        <v>0.25</v>
      </c>
      <c r="K6" s="85" t="s">
        <v>116</v>
      </c>
      <c r="M6" s="86" t="s">
        <v>496</v>
      </c>
      <c r="O6" s="86" t="s">
        <v>319</v>
      </c>
      <c r="S6" s="86" t="s">
        <v>320</v>
      </c>
      <c r="U6" s="28" t="s">
        <v>321</v>
      </c>
      <c r="W6" s="106" t="s">
        <v>131</v>
      </c>
      <c r="X6" s="100" t="s">
        <v>322</v>
      </c>
      <c r="Z6" s="106" t="s">
        <v>151</v>
      </c>
      <c r="AA6" s="83" t="s">
        <v>323</v>
      </c>
      <c r="AC6" s="90" t="s">
        <v>169</v>
      </c>
      <c r="AD6" s="91" t="s">
        <v>324</v>
      </c>
      <c r="AF6" s="108"/>
      <c r="AO6" s="86" t="s">
        <v>214</v>
      </c>
      <c r="AP6" s="28" t="s">
        <v>215</v>
      </c>
      <c r="AR6" s="86" t="s">
        <v>202</v>
      </c>
      <c r="AS6" s="28" t="s">
        <v>203</v>
      </c>
      <c r="AU6" s="86">
        <v>6000</v>
      </c>
      <c r="BB6" s="86" t="s">
        <v>312</v>
      </c>
      <c r="BD6" s="86" t="s">
        <v>122</v>
      </c>
      <c r="BH6" s="86" t="s">
        <v>326</v>
      </c>
      <c r="BJ6" s="86" t="s">
        <v>337</v>
      </c>
      <c r="BK6" s="86" t="s">
        <v>81</v>
      </c>
      <c r="BL6" s="86" t="s">
        <v>81</v>
      </c>
      <c r="BM6" s="86" t="s">
        <v>81</v>
      </c>
      <c r="BN6" s="86" t="s">
        <v>81</v>
      </c>
      <c r="CH6" s="230" t="s">
        <v>1410</v>
      </c>
      <c r="CI6" s="217" t="str">
        <f>IF(ISBLANK('3. EC Modelling Info'!D20),"","Yes")</f>
        <v>Yes</v>
      </c>
      <c r="CK6" s="102"/>
      <c r="CL6" s="226" t="s">
        <v>91</v>
      </c>
      <c r="CM6" s="223">
        <f>IFERROR(IF(CI7=$CL$11,IF(OR(CI11="No",CI11=""),$CQ$11*CI4*(1-CM8),$CQ$11*$CI$4*(1-$CM$9)),IF(CI7=$CL$12,IF(OR($CI$11="No",CI11=""),IF(OR(CI8="",CI8=$BR$3,CI9=$BV$2,CI9=""),IF($CJ$14=0,"",$CJ$14*(1-CM8)),IF(CI9=$BV$3,IF($CJ$16=0,"",$CJ$16*(1-CM8)),IF(CI9=$BV$4,IF($CJ$15=0,"",$CJ$15*(1-CM8)),""))),IF(OR(CI8="",CI8=$BR$3,CI9=$BV$2,CI9=""),IF($CJ$14=0,"",$CJ$14*(1-CM9)),IF(CI9=$BV$3,IF($CJ$16=0,"",$CJ$16*(1-CM9)),IF(CI9=$BV$4,IF($CJ$15=0,"",$CJ$15*(1-CM9)),"")))),"")),"")</f>
        <v>4099999.9999999995</v>
      </c>
      <c r="CN6" s="218" t="str" cm="1">
        <f t="array" aca="1" ref="CN6" ca="1">CELL("address",'4. Results &amp; Compliance'!H32)</f>
        <v>'[city-of-vancouver-embodied-carbon-design-report-v2.0-sample.xlsx]4. Results &amp; Compliance'!$H$32</v>
      </c>
      <c r="CO6" s="102"/>
      <c r="CP6" s="102"/>
      <c r="CQ6" s="104"/>
      <c r="DB6" s="570" t="s">
        <v>301</v>
      </c>
      <c r="DI6" s="274">
        <v>32</v>
      </c>
      <c r="DK6" s="274">
        <v>25</v>
      </c>
      <c r="DL6" s="274" t="s">
        <v>75</v>
      </c>
      <c r="DM6" s="274" t="str">
        <f t="shared" si="0"/>
        <v>25No</v>
      </c>
      <c r="DN6" s="277">
        <v>219.7</v>
      </c>
      <c r="DP6" s="274" t="s">
        <v>1073</v>
      </c>
      <c r="DQ6" s="274">
        <v>1.0860000000000001</v>
      </c>
      <c r="DR6" s="274" t="s">
        <v>1076</v>
      </c>
      <c r="DS6" s="274" t="s">
        <v>1068</v>
      </c>
      <c r="DT6" s="367">
        <f>DQ6/CONVERT(1,"mi","km")/907.185*1000</f>
        <v>0.74384950673759453</v>
      </c>
      <c r="DU6" s="274" t="s">
        <v>1081</v>
      </c>
      <c r="DW6" s="373"/>
      <c r="EE6" s="274" t="s">
        <v>1188</v>
      </c>
      <c r="EF6" s="274">
        <v>2.3199999999999998</v>
      </c>
      <c r="EG6" s="274" t="s">
        <v>1190</v>
      </c>
      <c r="EH6" s="274" t="s">
        <v>1193</v>
      </c>
      <c r="ES6" s="280" t="s">
        <v>592</v>
      </c>
      <c r="ET6" s="284" t="s">
        <v>643</v>
      </c>
      <c r="EU6" s="286" t="s">
        <v>1519</v>
      </c>
      <c r="EV6" s="281">
        <v>1.63</v>
      </c>
      <c r="EW6" s="28" t="s">
        <v>562</v>
      </c>
      <c r="EX6" s="299">
        <f>EV6/0.00785</f>
        <v>207.64331210191082</v>
      </c>
      <c r="EY6" s="573" t="s">
        <v>1005</v>
      </c>
      <c r="FF6" s="28" t="s">
        <v>1013</v>
      </c>
      <c r="FG6" s="307" t="s">
        <v>677</v>
      </c>
      <c r="FH6" s="343" t="s">
        <v>839</v>
      </c>
      <c r="FI6" s="496" t="str">
        <f t="shared" si="1"/>
        <v xml:space="preserve">Bamboo Cladding / Lamboo / Rainscreen™ Facing System / 11/16" (17 mm) </v>
      </c>
      <c r="FJ6" s="313">
        <v>18.471944699999998</v>
      </c>
      <c r="FK6" s="288" t="s">
        <v>1292</v>
      </c>
      <c r="FL6" s="299">
        <f>FJ6/(CONVERT((11/16),"in","m"))</f>
        <v>1057.8064251968503</v>
      </c>
      <c r="FM6" s="298" t="s">
        <v>1005</v>
      </c>
    </row>
    <row r="7" spans="1:169" ht="15.75">
      <c r="A7" s="28" t="s">
        <v>327</v>
      </c>
      <c r="C7" s="85" t="s">
        <v>122</v>
      </c>
      <c r="D7" s="109" t="s">
        <v>328</v>
      </c>
      <c r="F7" s="85"/>
      <c r="G7" s="85"/>
      <c r="H7" s="109"/>
      <c r="I7" s="84">
        <v>0.3</v>
      </c>
      <c r="K7" s="85" t="s">
        <v>329</v>
      </c>
      <c r="M7" s="86" t="s">
        <v>497</v>
      </c>
      <c r="O7" s="86" t="s">
        <v>330</v>
      </c>
      <c r="U7" s="28" t="s">
        <v>331</v>
      </c>
      <c r="W7" s="99" t="s">
        <v>133</v>
      </c>
      <c r="X7" s="100" t="s">
        <v>332</v>
      </c>
      <c r="Z7" s="99" t="s">
        <v>135</v>
      </c>
      <c r="AA7" s="83" t="s">
        <v>333</v>
      </c>
      <c r="AC7" s="90" t="s">
        <v>135</v>
      </c>
      <c r="AD7" s="91" t="s">
        <v>334</v>
      </c>
      <c r="AF7" s="108"/>
      <c r="AO7" s="86" t="s">
        <v>216</v>
      </c>
      <c r="AP7" s="28" t="s">
        <v>217</v>
      </c>
      <c r="AR7" s="86" t="s">
        <v>204</v>
      </c>
      <c r="AS7" s="28" t="s">
        <v>205</v>
      </c>
      <c r="AU7" s="86">
        <v>7000</v>
      </c>
      <c r="BB7" s="86" t="s">
        <v>1377</v>
      </c>
      <c r="BD7" s="86" t="s">
        <v>179</v>
      </c>
      <c r="BH7" s="86" t="s">
        <v>336</v>
      </c>
      <c r="BJ7" s="86" t="s">
        <v>1315</v>
      </c>
      <c r="BK7" s="86" t="s">
        <v>81</v>
      </c>
      <c r="BL7" s="86" t="s">
        <v>81</v>
      </c>
      <c r="BM7" s="86" t="s">
        <v>81</v>
      </c>
      <c r="BN7" s="86" t="s">
        <v>81</v>
      </c>
      <c r="CH7" s="230" t="s">
        <v>529</v>
      </c>
      <c r="CI7" s="217" t="str">
        <f>IF('4. Results &amp; Compliance'!H13="","",'4. Results &amp; Compliance'!H13)</f>
        <v>Intensity Limit Path</v>
      </c>
      <c r="CJ7" s="102"/>
      <c r="CK7" s="102"/>
      <c r="CL7" s="226" t="s">
        <v>533</v>
      </c>
      <c r="CM7" s="237" t="str">
        <f>IF(OR(CI3="",CI3&lt;$CN$11),"",IF(CM26="",IF(CM3&lt;=CM6,"Yes","No"),CM26))</f>
        <v>Yes</v>
      </c>
      <c r="CN7" s="218" t="str" cm="1">
        <f t="array" aca="1" ref="CN7" ca="1">CELL("address",'4. Results &amp; Compliance'!E22)</f>
        <v>'[city-of-vancouver-embodied-carbon-design-report-v2.0-sample.xlsx]4. Results &amp; Compliance'!$E$22</v>
      </c>
      <c r="CO7" s="102"/>
      <c r="CP7" s="102"/>
      <c r="CQ7" s="104"/>
      <c r="DB7" s="570" t="s">
        <v>316</v>
      </c>
      <c r="DI7" s="365">
        <v>35</v>
      </c>
      <c r="DK7" s="275">
        <v>30</v>
      </c>
      <c r="DL7" s="275" t="s">
        <v>81</v>
      </c>
      <c r="DM7" s="275" t="str">
        <f t="shared" si="0"/>
        <v>30Yes</v>
      </c>
      <c r="DN7" s="278">
        <v>269.83</v>
      </c>
      <c r="DP7" s="275" t="s">
        <v>1072</v>
      </c>
      <c r="DQ7" s="275">
        <v>7.6999999999999999E-2</v>
      </c>
      <c r="DR7" s="275" t="s">
        <v>1076</v>
      </c>
      <c r="DS7" s="275" t="s">
        <v>1068</v>
      </c>
      <c r="DT7" s="368">
        <f>DQ7/CONVERT(1,"mi","km")/907.185*1000</f>
        <v>5.2740710882868115E-2</v>
      </c>
      <c r="DU7" s="275" t="s">
        <v>1081</v>
      </c>
      <c r="EE7" s="275" t="s">
        <v>1189</v>
      </c>
      <c r="EF7" s="275">
        <v>2.569</v>
      </c>
      <c r="EG7" s="275" t="s">
        <v>1190</v>
      </c>
      <c r="EH7" s="275" t="s">
        <v>1068</v>
      </c>
      <c r="ES7" s="283" t="s">
        <v>620</v>
      </c>
      <c r="ET7" s="284" t="s">
        <v>623</v>
      </c>
      <c r="EU7" s="286" t="s">
        <v>661</v>
      </c>
      <c r="EV7" s="281">
        <v>1.63</v>
      </c>
      <c r="EW7" s="28" t="s">
        <v>576</v>
      </c>
      <c r="EX7" s="299">
        <f>EV7*3.6/5.679/CONVERT(1,"in","m")</f>
        <v>40.680334926438476</v>
      </c>
      <c r="EY7" s="573" t="s">
        <v>1005</v>
      </c>
      <c r="FF7" s="28" t="s">
        <v>1013</v>
      </c>
      <c r="FG7" s="308" t="s">
        <v>678</v>
      </c>
      <c r="FH7" s="343" t="s">
        <v>840</v>
      </c>
      <c r="FI7" s="496" t="str">
        <f t="shared" si="1"/>
        <v>Bamboo Cladding / MOSO / X-treme, all profiles / Heat treated / 5/8" (18 mm)</v>
      </c>
      <c r="FJ7" s="314">
        <v>29.456999999999997</v>
      </c>
      <c r="FK7" s="312" t="s">
        <v>994</v>
      </c>
      <c r="FL7" s="299">
        <f>FJ7/(CONVERT((5/8),"in","m"))</f>
        <v>1855.5590551181101</v>
      </c>
      <c r="FM7" s="298" t="s">
        <v>1005</v>
      </c>
    </row>
    <row r="8" spans="1:169" ht="15.75">
      <c r="A8" s="28" t="s">
        <v>339</v>
      </c>
      <c r="I8" s="84">
        <v>0.35</v>
      </c>
      <c r="K8" s="85" t="s">
        <v>340</v>
      </c>
      <c r="M8" s="86" t="s">
        <v>498</v>
      </c>
      <c r="O8" s="86" t="s">
        <v>341</v>
      </c>
      <c r="U8" s="28" t="s">
        <v>342</v>
      </c>
      <c r="W8" s="106" t="s">
        <v>135</v>
      </c>
      <c r="X8" s="100" t="s">
        <v>343</v>
      </c>
      <c r="Z8" s="106" t="s">
        <v>154</v>
      </c>
      <c r="AA8" s="83" t="s">
        <v>344</v>
      </c>
      <c r="AC8" s="90" t="s">
        <v>172</v>
      </c>
      <c r="AD8" s="91" t="s">
        <v>345</v>
      </c>
      <c r="AF8" s="108"/>
      <c r="AI8" s="108"/>
      <c r="AU8" s="86">
        <v>8000</v>
      </c>
      <c r="BB8" s="86" t="s">
        <v>1378</v>
      </c>
      <c r="BH8" s="86" t="s">
        <v>256</v>
      </c>
      <c r="BJ8" s="86" t="s">
        <v>1314</v>
      </c>
      <c r="BK8" s="86" t="s">
        <v>81</v>
      </c>
      <c r="BL8" s="86" t="s">
        <v>81</v>
      </c>
      <c r="BM8" s="86" t="s">
        <v>81</v>
      </c>
      <c r="BN8" s="86" t="s">
        <v>81</v>
      </c>
      <c r="CH8" s="230" t="s">
        <v>1297</v>
      </c>
      <c r="CI8" s="217" t="str">
        <f>IF('3. EC Modelling Info'!F59="","",'3. EC Modelling Info'!F59)</f>
        <v>Yes</v>
      </c>
      <c r="CJ8" s="102"/>
      <c r="CK8" s="102"/>
      <c r="CL8" s="227" t="s">
        <v>531</v>
      </c>
      <c r="CM8" s="639">
        <f>IFERROR(IF(CI3&gt;=CN12,CO12,CO11),"")</f>
        <v>-1</v>
      </c>
      <c r="CN8" s="225" t="str" cm="1">
        <f t="array" aca="1" ref="CN8" ca="1">CELL("address",'4. Results &amp; Compliance'!E24)</f>
        <v>'[city-of-vancouver-embodied-carbon-design-report-v2.0-sample.xlsx]4. Results &amp; Compliance'!$E$24</v>
      </c>
      <c r="CO8" s="102"/>
      <c r="CP8" s="102"/>
      <c r="CQ8" s="104"/>
      <c r="DB8" s="570" t="s">
        <v>346</v>
      </c>
      <c r="DI8" s="366">
        <v>40</v>
      </c>
      <c r="DK8" s="274">
        <v>30</v>
      </c>
      <c r="DL8" s="274" t="s">
        <v>75</v>
      </c>
      <c r="DM8" s="274" t="str">
        <f t="shared" si="0"/>
        <v>30No</v>
      </c>
      <c r="DN8" s="277">
        <v>258.92</v>
      </c>
      <c r="DP8" s="274" t="s">
        <v>1064</v>
      </c>
      <c r="DQ8" s="274">
        <v>2.1000000000000001E-2</v>
      </c>
      <c r="DR8" s="274" t="s">
        <v>1076</v>
      </c>
      <c r="DS8" s="274" t="s">
        <v>1068</v>
      </c>
      <c r="DT8" s="367">
        <f>DQ8/CONVERT(1,"mi","km")/907.185*1000</f>
        <v>1.4383830240782216E-2</v>
      </c>
      <c r="DU8" s="274" t="s">
        <v>1081</v>
      </c>
      <c r="EE8" s="366" t="s">
        <v>1196</v>
      </c>
      <c r="ES8" s="283" t="s">
        <v>621</v>
      </c>
      <c r="ET8" s="284" t="s">
        <v>622</v>
      </c>
      <c r="EU8" s="286" t="s">
        <v>662</v>
      </c>
      <c r="EV8" s="281">
        <v>10.71</v>
      </c>
      <c r="EW8" s="28" t="s">
        <v>576</v>
      </c>
      <c r="EX8" s="299">
        <f>EV8*2.4/5.679/CONVERT(1,"in","m")</f>
        <v>178.19484133421517</v>
      </c>
      <c r="EY8" s="573" t="s">
        <v>1005</v>
      </c>
      <c r="FF8" s="28" t="s">
        <v>1013</v>
      </c>
      <c r="FG8" s="307" t="s">
        <v>760</v>
      </c>
      <c r="FH8" s="343" t="s">
        <v>917</v>
      </c>
      <c r="FI8" s="496" t="str">
        <f t="shared" si="1"/>
        <v>Bamboo Glulam / Lamboo / Structural Grade Product Systems</v>
      </c>
      <c r="FJ8" s="318">
        <v>1058.9143851000001</v>
      </c>
      <c r="FK8" s="312" t="s">
        <v>1005</v>
      </c>
      <c r="FL8" s="299">
        <f>FJ8</f>
        <v>1058.9143851000001</v>
      </c>
      <c r="FM8" s="298" t="s">
        <v>1005</v>
      </c>
    </row>
    <row r="9" spans="1:169" ht="15.75">
      <c r="A9" s="28" t="s">
        <v>347</v>
      </c>
      <c r="C9" s="38"/>
      <c r="I9" s="84">
        <v>0.4</v>
      </c>
      <c r="K9" s="85" t="s">
        <v>348</v>
      </c>
      <c r="M9" s="86" t="s">
        <v>499</v>
      </c>
      <c r="O9" s="86" t="s">
        <v>349</v>
      </c>
      <c r="U9" s="28" t="s">
        <v>159</v>
      </c>
      <c r="W9" s="99" t="s">
        <v>137</v>
      </c>
      <c r="X9" s="100" t="s">
        <v>350</v>
      </c>
      <c r="Z9" s="99" t="s">
        <v>156</v>
      </c>
      <c r="AA9" s="83" t="s">
        <v>351</v>
      </c>
      <c r="AC9" s="90" t="s">
        <v>174</v>
      </c>
      <c r="AD9" s="91" t="s">
        <v>352</v>
      </c>
      <c r="AI9" s="108"/>
      <c r="AU9" s="86">
        <v>9000</v>
      </c>
      <c r="BB9" s="86" t="s">
        <v>325</v>
      </c>
      <c r="BJ9" s="86" t="s">
        <v>1317</v>
      </c>
      <c r="BK9" s="86" t="s">
        <v>81</v>
      </c>
      <c r="BL9" s="86" t="s">
        <v>81</v>
      </c>
      <c r="BM9" s="86" t="s">
        <v>81</v>
      </c>
      <c r="BN9" s="86" t="s">
        <v>81</v>
      </c>
      <c r="CG9" s="111"/>
      <c r="CH9" s="230" t="s">
        <v>1298</v>
      </c>
      <c r="CI9" s="217" t="str">
        <f>IF('3. EC Modelling Info'!F62="","",'3. EC Modelling Info'!F62)</f>
        <v/>
      </c>
      <c r="CJ9" s="102"/>
      <c r="CK9" s="102"/>
      <c r="CL9" s="227" t="s">
        <v>1270</v>
      </c>
      <c r="CM9" s="224">
        <f>IFERROR(IF(CI3&gt;=CN12,CO12-CJ36,CO11-CJ36),"")</f>
        <v>-1.05</v>
      </c>
      <c r="CN9" s="225" t="str" cm="1">
        <f t="array" aca="1" ref="CN9" ca="1">CELL("address",'4. Results &amp; Compliance'!E27)</f>
        <v>'[city-of-vancouver-embodied-carbon-design-report-v2.0-sample.xlsx]4. Results &amp; Compliance'!$E$27</v>
      </c>
      <c r="CO9" s="102"/>
      <c r="CP9" s="102"/>
      <c r="CQ9" s="104"/>
      <c r="CR9" s="111"/>
      <c r="DB9" s="570" t="s">
        <v>353</v>
      </c>
      <c r="DI9" s="365">
        <v>45</v>
      </c>
      <c r="DK9" s="275">
        <v>32</v>
      </c>
      <c r="DL9" s="275" t="s">
        <v>81</v>
      </c>
      <c r="DM9" s="275" t="str">
        <f t="shared" si="0"/>
        <v>32Yes</v>
      </c>
      <c r="DN9" s="278">
        <v>285.31</v>
      </c>
      <c r="DP9" s="365" t="s">
        <v>1067</v>
      </c>
      <c r="DQ9" s="28" t="s">
        <v>1069</v>
      </c>
      <c r="EE9" s="366" t="s">
        <v>1194</v>
      </c>
      <c r="ES9" s="283" t="s">
        <v>609</v>
      </c>
      <c r="ET9" s="289" t="s">
        <v>624</v>
      </c>
      <c r="EU9" s="286" t="s">
        <v>663</v>
      </c>
      <c r="EV9" s="281">
        <v>5.19</v>
      </c>
      <c r="EW9" s="28" t="s">
        <v>576</v>
      </c>
      <c r="EX9" s="299">
        <f>EV9*2.8/5.679/CONVERT(1,"in","m")</f>
        <v>100.74414232293863</v>
      </c>
      <c r="EY9" s="573" t="s">
        <v>1005</v>
      </c>
      <c r="FF9" s="28" t="s">
        <v>1013</v>
      </c>
      <c r="FG9" s="307" t="s">
        <v>680</v>
      </c>
      <c r="FH9" s="343" t="s">
        <v>842</v>
      </c>
      <c r="FI9" s="496" t="str">
        <f t="shared" si="1"/>
        <v xml:space="preserve">Bamboo plywood / Smith &amp; Fong / Plyboo / 1/2" (uncarved) </v>
      </c>
      <c r="FJ9" s="314">
        <v>12.974131151999998</v>
      </c>
      <c r="FK9" s="312" t="s">
        <v>996</v>
      </c>
      <c r="FL9" s="299">
        <f>FJ9/(CONVERT(0.5,"in","m"))</f>
        <v>1021.58513007874</v>
      </c>
      <c r="FM9" s="298" t="s">
        <v>1005</v>
      </c>
    </row>
    <row r="10" spans="1:169" ht="30">
      <c r="A10" s="28" t="s">
        <v>354</v>
      </c>
      <c r="C10" s="108"/>
      <c r="D10" s="108"/>
      <c r="F10" s="108"/>
      <c r="G10" s="108"/>
      <c r="H10" s="108"/>
      <c r="I10" s="84">
        <v>0.45</v>
      </c>
      <c r="K10" s="85" t="s">
        <v>118</v>
      </c>
      <c r="M10" s="86" t="s">
        <v>500</v>
      </c>
      <c r="O10" s="86" t="s">
        <v>355</v>
      </c>
      <c r="U10" s="28" t="s">
        <v>179</v>
      </c>
      <c r="W10" s="106" t="s">
        <v>139</v>
      </c>
      <c r="X10" s="100" t="s">
        <v>356</v>
      </c>
      <c r="Z10" s="106" t="s">
        <v>141</v>
      </c>
      <c r="AA10" s="83" t="s">
        <v>357</v>
      </c>
      <c r="AC10" s="90" t="s">
        <v>176</v>
      </c>
      <c r="AD10" s="91" t="s">
        <v>358</v>
      </c>
      <c r="AI10" s="108"/>
      <c r="AU10" s="86">
        <v>10000</v>
      </c>
      <c r="BB10" s="86" t="s">
        <v>335</v>
      </c>
      <c r="BJ10" s="86" t="s">
        <v>1318</v>
      </c>
      <c r="BK10" s="86" t="s">
        <v>81</v>
      </c>
      <c r="BL10" s="86" t="s">
        <v>75</v>
      </c>
      <c r="BM10" s="86" t="s">
        <v>75</v>
      </c>
      <c r="BN10" s="86" t="s">
        <v>75</v>
      </c>
      <c r="CC10" s="28"/>
      <c r="CH10" s="230" t="s">
        <v>1295</v>
      </c>
      <c r="CI10" s="217" t="str">
        <f>IF('3. EC Modelling Info'!F90="","",'3. EC Modelling Info'!F90)</f>
        <v>Yes</v>
      </c>
      <c r="CJ10" s="102"/>
      <c r="CK10" s="102"/>
      <c r="CL10" s="231" t="s">
        <v>87</v>
      </c>
      <c r="CM10" s="96" t="s">
        <v>259</v>
      </c>
      <c r="CN10" s="95" t="s">
        <v>260</v>
      </c>
      <c r="CO10" s="235" t="s">
        <v>532</v>
      </c>
      <c r="CP10" s="235" t="s">
        <v>261</v>
      </c>
      <c r="CQ10" s="214" t="s">
        <v>1417</v>
      </c>
      <c r="DB10" s="570" t="s">
        <v>1421</v>
      </c>
      <c r="DI10" s="366">
        <v>50</v>
      </c>
      <c r="DK10" s="274">
        <v>32</v>
      </c>
      <c r="DL10" s="274" t="s">
        <v>75</v>
      </c>
      <c r="DM10" s="274" t="str">
        <f t="shared" si="0"/>
        <v>32No</v>
      </c>
      <c r="DN10" s="277">
        <v>272.44</v>
      </c>
      <c r="DP10" s="366" t="s">
        <v>1068</v>
      </c>
      <c r="DQ10" s="28" t="s">
        <v>1070</v>
      </c>
      <c r="EE10" s="384" t="s">
        <v>1067</v>
      </c>
      <c r="EF10" s="28" t="s">
        <v>1185</v>
      </c>
      <c r="ES10" s="283" t="s">
        <v>610</v>
      </c>
      <c r="ET10" s="287" t="s">
        <v>625</v>
      </c>
      <c r="EU10" s="286" t="s">
        <v>664</v>
      </c>
      <c r="EV10" s="281">
        <v>6.71</v>
      </c>
      <c r="EW10" s="28" t="s">
        <v>576</v>
      </c>
      <c r="EX10" s="299">
        <f>EV10*2.8/5.679/CONVERT(1,"in","m")</f>
        <v>130.24917051771064</v>
      </c>
      <c r="EY10" s="573" t="s">
        <v>1005</v>
      </c>
      <c r="FF10" s="28" t="s">
        <v>1013</v>
      </c>
      <c r="FG10" s="307" t="s">
        <v>679</v>
      </c>
      <c r="FH10" s="343" t="s">
        <v>841</v>
      </c>
      <c r="FI10" s="496" t="str">
        <f t="shared" si="1"/>
        <v xml:space="preserve">Bamboo plywood / Smith &amp; Fong / Plyboo / 3/4" (uncarved) </v>
      </c>
      <c r="FJ10" s="314">
        <v>19.416764771999997</v>
      </c>
      <c r="FK10" s="288" t="s">
        <v>1293</v>
      </c>
      <c r="FL10" s="299">
        <f>FJ10/(CONVERT(0.75,"in","m"))</f>
        <v>1019.2527439370076</v>
      </c>
      <c r="FM10" s="298" t="s">
        <v>1005</v>
      </c>
    </row>
    <row r="11" spans="1:169" ht="15.75">
      <c r="A11" s="28" t="s">
        <v>359</v>
      </c>
      <c r="C11" s="108"/>
      <c r="D11" s="108"/>
      <c r="F11" s="108"/>
      <c r="G11" s="108"/>
      <c r="H11" s="108"/>
      <c r="I11" s="84">
        <v>0.5</v>
      </c>
      <c r="K11" s="85" t="s">
        <v>303</v>
      </c>
      <c r="M11" s="86" t="s">
        <v>501</v>
      </c>
      <c r="O11" s="86" t="s">
        <v>360</v>
      </c>
      <c r="W11" s="99" t="s">
        <v>141</v>
      </c>
      <c r="X11" s="100" t="s">
        <v>361</v>
      </c>
      <c r="Z11" s="99" t="s">
        <v>159</v>
      </c>
      <c r="AA11" s="110" t="s">
        <v>160</v>
      </c>
      <c r="AC11" s="90" t="s">
        <v>141</v>
      </c>
      <c r="AD11" s="91" t="s">
        <v>362</v>
      </c>
      <c r="AI11" s="108"/>
      <c r="AU11" s="86">
        <v>15000</v>
      </c>
      <c r="BB11" s="86" t="s">
        <v>179</v>
      </c>
      <c r="BJ11" s="86" t="s">
        <v>179</v>
      </c>
      <c r="CH11" s="503" t="s">
        <v>1335</v>
      </c>
      <c r="CI11" s="217" t="str">
        <f>IF('3. EC Modelling Info'!F120="","",'3. EC Modelling Info'!F120)</f>
        <v>Yes</v>
      </c>
      <c r="CK11" s="102"/>
      <c r="CL11" s="101" t="s">
        <v>1413</v>
      </c>
      <c r="CM11" s="102">
        <v>1</v>
      </c>
      <c r="CN11" s="215">
        <v>45200</v>
      </c>
      <c r="CO11" s="103">
        <v>-1</v>
      </c>
      <c r="CP11" s="103">
        <v>2</v>
      </c>
      <c r="CQ11" s="104">
        <v>400</v>
      </c>
      <c r="DB11" s="570" t="s">
        <v>1422</v>
      </c>
      <c r="DI11" s="365">
        <v>55</v>
      </c>
      <c r="DK11" s="275">
        <v>35</v>
      </c>
      <c r="DL11" s="275" t="s">
        <v>81</v>
      </c>
      <c r="DM11" s="275" t="str">
        <f t="shared" si="0"/>
        <v>35Yes</v>
      </c>
      <c r="DN11" s="278">
        <v>310.51</v>
      </c>
      <c r="EE11" s="384" t="s">
        <v>1068</v>
      </c>
      <c r="EF11" s="28" t="s">
        <v>1053</v>
      </c>
      <c r="ES11" s="280" t="s">
        <v>586</v>
      </c>
      <c r="ET11" s="284" t="s">
        <v>638</v>
      </c>
      <c r="EU11" s="286" t="s">
        <v>660</v>
      </c>
      <c r="EV11" s="281">
        <v>49.78</v>
      </c>
      <c r="EW11" s="28" t="s">
        <v>576</v>
      </c>
      <c r="EX11" s="299">
        <f>EV11*2/5.679/CONVERT(1,"in","m")</f>
        <v>690.20690955627379</v>
      </c>
      <c r="EY11" s="573" t="s">
        <v>1005</v>
      </c>
      <c r="FF11" s="28" t="s">
        <v>1013</v>
      </c>
      <c r="FG11" s="280" t="s">
        <v>682</v>
      </c>
      <c r="FH11" s="343" t="s">
        <v>844</v>
      </c>
      <c r="FI11" s="496" t="str">
        <f t="shared" si="1"/>
        <v>Cellulose / batt / CMS / EcoCell / R 3.6-inch</v>
      </c>
      <c r="FJ11" s="313">
        <v>2.2704000000000004</v>
      </c>
      <c r="FK11" s="312" t="s">
        <v>576</v>
      </c>
      <c r="FL11" s="299">
        <f>FJ11*3.6/5.679/CONVERT(1,"in","m")</f>
        <v>56.662964672997497</v>
      </c>
      <c r="FM11" s="298" t="s">
        <v>1005</v>
      </c>
    </row>
    <row r="12" spans="1:169" s="111" customFormat="1" ht="15.75" customHeight="1">
      <c r="A12" s="111" t="s">
        <v>363</v>
      </c>
      <c r="C12" s="112"/>
      <c r="D12" s="112"/>
      <c r="F12" s="112"/>
      <c r="G12" s="112"/>
      <c r="H12" s="112"/>
      <c r="I12" s="113">
        <v>0.55000000000000004</v>
      </c>
      <c r="K12" s="114" t="s">
        <v>122</v>
      </c>
      <c r="M12" s="115" t="s">
        <v>502</v>
      </c>
      <c r="O12" s="115" t="s">
        <v>364</v>
      </c>
      <c r="Q12" s="115"/>
      <c r="S12" s="115"/>
      <c r="W12" s="116" t="s">
        <v>143</v>
      </c>
      <c r="X12" s="117" t="s">
        <v>365</v>
      </c>
      <c r="Z12" s="116" t="s">
        <v>161</v>
      </c>
      <c r="AA12" s="118" t="s">
        <v>162</v>
      </c>
      <c r="AC12" s="119" t="s">
        <v>179</v>
      </c>
      <c r="AD12" s="120" t="s">
        <v>366</v>
      </c>
      <c r="AF12" s="115"/>
      <c r="AG12" s="119"/>
      <c r="AI12" s="115"/>
      <c r="AM12" s="115"/>
      <c r="AU12" s="115">
        <v>20000</v>
      </c>
      <c r="BB12" s="86" t="s">
        <v>256</v>
      </c>
      <c r="BD12" s="115"/>
      <c r="BH12" s="115"/>
      <c r="BJ12" s="86"/>
      <c r="BK12" s="86"/>
      <c r="BL12" s="86"/>
      <c r="BM12" s="86"/>
      <c r="BN12" s="86"/>
      <c r="BO12" s="121"/>
      <c r="BP12" s="121"/>
      <c r="BQ12" s="121"/>
      <c r="BR12" s="121"/>
      <c r="BS12" s="121"/>
      <c r="BT12" s="121"/>
      <c r="BU12" s="121"/>
      <c r="BV12" s="121"/>
      <c r="BW12" s="121"/>
      <c r="BX12" s="121"/>
      <c r="BY12" s="121"/>
      <c r="CA12" s="115"/>
      <c r="CC12" s="115"/>
      <c r="CG12" s="28"/>
      <c r="CH12" s="28"/>
      <c r="CI12" s="28"/>
      <c r="CJ12" s="28"/>
      <c r="CK12" s="122"/>
      <c r="CL12" s="101" t="s">
        <v>299</v>
      </c>
      <c r="CM12" s="102">
        <v>2</v>
      </c>
      <c r="CN12" s="215">
        <v>45809</v>
      </c>
      <c r="CO12" s="103">
        <v>-1</v>
      </c>
      <c r="CP12" s="103">
        <v>2</v>
      </c>
      <c r="CQ12" s="104">
        <v>400</v>
      </c>
      <c r="CR12" s="28"/>
      <c r="DB12" s="28" t="s">
        <v>179</v>
      </c>
      <c r="DI12" s="689">
        <v>60</v>
      </c>
      <c r="DK12" s="276">
        <v>35</v>
      </c>
      <c r="DL12" s="276" t="s">
        <v>75</v>
      </c>
      <c r="DM12" s="276" t="str">
        <f t="shared" si="0"/>
        <v>35No</v>
      </c>
      <c r="DN12" s="279">
        <v>293.75</v>
      </c>
      <c r="DP12" s="28"/>
      <c r="DQ12" s="28"/>
      <c r="DR12" s="28"/>
      <c r="DS12" s="28"/>
      <c r="DT12" s="28"/>
      <c r="DU12" s="28"/>
      <c r="EE12" s="384" t="s">
        <v>1193</v>
      </c>
      <c r="EF12" s="28" t="s">
        <v>1070</v>
      </c>
      <c r="EQ12" s="28"/>
      <c r="ES12" s="283" t="s">
        <v>616</v>
      </c>
      <c r="ET12" s="287" t="s">
        <v>646</v>
      </c>
      <c r="EU12" s="286" t="s">
        <v>657</v>
      </c>
      <c r="EV12" s="281">
        <v>2.8</v>
      </c>
      <c r="EW12" s="28" t="s">
        <v>576</v>
      </c>
      <c r="EX12" s="299">
        <f>EV12*3.9/5.679/CONVERT(1,"in","m")</f>
        <v>75.703690762901857</v>
      </c>
      <c r="EY12" s="573" t="s">
        <v>1005</v>
      </c>
      <c r="EZ12" s="28"/>
      <c r="FF12" s="28" t="s">
        <v>1013</v>
      </c>
      <c r="FG12" s="307" t="s">
        <v>683</v>
      </c>
      <c r="FH12" s="343" t="s">
        <v>845</v>
      </c>
      <c r="FI12" s="496" t="str">
        <f t="shared" si="1"/>
        <v>Cellulose / batt / Ekovilla / Ekovilla Slab / R3.7-inch [EU]</v>
      </c>
      <c r="FJ12" s="314">
        <v>1.7189999999999999</v>
      </c>
      <c r="FK12" s="312" t="s">
        <v>576</v>
      </c>
      <c r="FL12" s="299">
        <f>FJ12*3.7/5.679/CONVERT(1,"in","m")</f>
        <v>44.093240325941821</v>
      </c>
      <c r="FM12" s="298" t="s">
        <v>1005</v>
      </c>
    </row>
    <row r="13" spans="1:169" ht="30">
      <c r="A13" s="28" t="s">
        <v>367</v>
      </c>
      <c r="C13" s="108"/>
      <c r="D13" s="108"/>
      <c r="F13" s="108"/>
      <c r="G13" s="108"/>
      <c r="H13" s="108"/>
      <c r="I13" s="84">
        <v>0.6</v>
      </c>
      <c r="K13" s="108"/>
      <c r="M13" s="86" t="s">
        <v>503</v>
      </c>
      <c r="O13" s="86" t="s">
        <v>368</v>
      </c>
      <c r="AU13" s="86">
        <v>30000</v>
      </c>
      <c r="BJ13" s="86" t="s">
        <v>1321</v>
      </c>
      <c r="BO13" s="121"/>
      <c r="BP13" s="121"/>
      <c r="BQ13" s="121"/>
      <c r="BR13" s="121"/>
      <c r="BS13" s="121"/>
      <c r="BT13" s="121"/>
      <c r="BU13" s="121"/>
      <c r="BV13" s="121"/>
      <c r="BW13" s="121"/>
      <c r="BX13" s="121"/>
      <c r="BY13" s="121"/>
      <c r="CH13" s="236" t="s">
        <v>1296</v>
      </c>
      <c r="CI13" s="229" t="s">
        <v>538</v>
      </c>
      <c r="CJ13" s="229" t="s">
        <v>539</v>
      </c>
      <c r="CK13" s="102"/>
      <c r="CL13" s="101"/>
      <c r="CM13" s="102"/>
      <c r="CN13" s="102"/>
      <c r="CO13" s="102"/>
      <c r="CP13" s="102"/>
      <c r="CQ13" s="104"/>
      <c r="DB13" s="111"/>
      <c r="DI13" s="28" t="s">
        <v>1566</v>
      </c>
      <c r="DK13" s="275">
        <v>40</v>
      </c>
      <c r="DL13" s="275" t="s">
        <v>81</v>
      </c>
      <c r="DM13" s="275" t="str">
        <f t="shared" si="0"/>
        <v>40Yes</v>
      </c>
      <c r="DN13" s="278">
        <v>344.04</v>
      </c>
      <c r="ES13" s="283" t="s">
        <v>1279</v>
      </c>
      <c r="ET13" s="287" t="s">
        <v>1280</v>
      </c>
      <c r="EU13" s="286" t="s">
        <v>665</v>
      </c>
      <c r="EV13" s="281">
        <v>20.95</v>
      </c>
      <c r="EW13" s="28" t="s">
        <v>576</v>
      </c>
      <c r="EX13" s="299">
        <f>EV13*2.7/5.679/CONVERT(1,"in","m")</f>
        <v>392.14095860838319</v>
      </c>
      <c r="EY13" s="573" t="s">
        <v>1005</v>
      </c>
      <c r="FF13" s="28" t="s">
        <v>1013</v>
      </c>
      <c r="FG13" s="307" t="s">
        <v>684</v>
      </c>
      <c r="FH13" s="343" t="s">
        <v>846</v>
      </c>
      <c r="FI13" s="496" t="str">
        <f t="shared" si="1"/>
        <v xml:space="preserve">Cellulose / dense pack / Advanced Fiber Technology / AFT Carbon Smart / 56 kg/m3 / R3.8-inch </v>
      </c>
      <c r="FJ13" s="314">
        <v>3.0186347306021051</v>
      </c>
      <c r="FK13" s="312" t="s">
        <v>576</v>
      </c>
      <c r="FL13" s="299">
        <f>FJ13*3.8/5.679/CONVERT(1,"in","m")</f>
        <v>79.522234675118852</v>
      </c>
      <c r="FM13" s="298" t="s">
        <v>1005</v>
      </c>
    </row>
    <row r="14" spans="1:169" ht="30">
      <c r="A14" s="28" t="s">
        <v>369</v>
      </c>
      <c r="C14" s="108"/>
      <c r="D14" s="108"/>
      <c r="F14" s="108"/>
      <c r="G14" s="108"/>
      <c r="H14" s="108"/>
      <c r="I14" s="84">
        <v>0.65</v>
      </c>
      <c r="K14" s="108"/>
      <c r="M14" s="86" t="s">
        <v>504</v>
      </c>
      <c r="O14" s="86" t="s">
        <v>370</v>
      </c>
      <c r="AU14" s="86">
        <v>40000</v>
      </c>
      <c r="BJ14" s="498" t="s">
        <v>466</v>
      </c>
      <c r="BK14" s="498"/>
      <c r="BL14" s="498"/>
      <c r="BM14" s="498"/>
      <c r="BN14" s="498"/>
      <c r="BO14" s="121"/>
      <c r="BP14" s="121"/>
      <c r="BQ14" s="121"/>
      <c r="BR14" s="121"/>
      <c r="BS14" s="121"/>
      <c r="BT14" s="121"/>
      <c r="BU14" s="121"/>
      <c r="BV14" s="121"/>
      <c r="BW14" s="121"/>
      <c r="BX14" s="121"/>
      <c r="BY14" s="121"/>
      <c r="CH14" s="230" t="s">
        <v>459</v>
      </c>
      <c r="CI14" s="237">
        <f>IF(OR('3. EC Modelling Info'!$D$19=$BJ$6,AND('3. EC Modelling Info'!$D$19=$BJ$11,'3. EC Modelling Info'!$D$22=$BR$3)),'4. Results &amp; Compliance'!$E$42,'4. Results &amp; Compliance'!$E$48)</f>
        <v>1032343.29</v>
      </c>
      <c r="CJ14" s="237" t="str">
        <f>IF(OR('3. EC Modelling Info'!$D$19=$BJ$6,AND('3. EC Modelling Info'!$D$19=$BJ$11,'3. EC Modelling Info'!$D$22=$BR$3)),'4. Results &amp; Compliance'!$E$60,'4. Results &amp; Compliance'!$E$66)</f>
        <v/>
      </c>
      <c r="CK14" s="102"/>
      <c r="CL14" s="232" t="s">
        <v>1398</v>
      </c>
      <c r="CM14" s="228" t="s">
        <v>536</v>
      </c>
      <c r="CN14" s="102"/>
      <c r="CP14" s="102"/>
      <c r="CQ14" s="104"/>
      <c r="DK14" s="274">
        <v>40</v>
      </c>
      <c r="DL14" s="274" t="s">
        <v>75</v>
      </c>
      <c r="DM14" s="274" t="str">
        <f t="shared" si="0"/>
        <v>40No</v>
      </c>
      <c r="DN14" s="277">
        <v>329</v>
      </c>
      <c r="DP14" s="1043" t="s">
        <v>1117</v>
      </c>
      <c r="DQ14" s="1044"/>
      <c r="DR14" s="1044"/>
      <c r="DS14" s="1044"/>
      <c r="DT14" s="1044"/>
      <c r="DU14" s="1044"/>
      <c r="DV14" s="1044"/>
      <c r="DW14" s="1044"/>
      <c r="DX14" s="1044"/>
      <c r="DY14" s="1044"/>
      <c r="DZ14" s="1044"/>
      <c r="EA14" s="1044"/>
      <c r="EB14" s="1044"/>
      <c r="EC14" s="497"/>
      <c r="ES14" s="283" t="s">
        <v>617</v>
      </c>
      <c r="ET14" s="287" t="s">
        <v>626</v>
      </c>
      <c r="EU14" s="286" t="s">
        <v>669</v>
      </c>
      <c r="EV14" s="282">
        <v>1.03</v>
      </c>
      <c r="EW14" s="111" t="s">
        <v>576</v>
      </c>
      <c r="EX14" s="299">
        <f>EV14*3.8/5.679/CONVERT(1,"in","m")</f>
        <v>27.134088429120688</v>
      </c>
      <c r="EY14" s="573" t="s">
        <v>1005</v>
      </c>
      <c r="FF14" s="28" t="s">
        <v>1013</v>
      </c>
      <c r="FG14" s="307" t="s">
        <v>685</v>
      </c>
      <c r="FH14" s="343" t="s">
        <v>847</v>
      </c>
      <c r="FI14" s="496" t="str">
        <f t="shared" si="1"/>
        <v xml:space="preserve">Cellulose / dense pack / Greenfiber / Sanctuary / Avg of all facilties / 56.1 kg/m3 / R3.8-inch </v>
      </c>
      <c r="FJ14" s="314">
        <v>3.0118385681999995</v>
      </c>
      <c r="FK14" s="312" t="s">
        <v>576</v>
      </c>
      <c r="FL14" s="299">
        <f>FJ14*3.8/5.679/CONVERT(1,"in","m")</f>
        <v>79.343198100752446</v>
      </c>
      <c r="FM14" s="298" t="s">
        <v>1005</v>
      </c>
    </row>
    <row r="15" spans="1:169" ht="17.25">
      <c r="A15" s="28" t="s">
        <v>371</v>
      </c>
      <c r="C15" s="108"/>
      <c r="D15" s="108"/>
      <c r="F15" s="108"/>
      <c r="G15" s="108"/>
      <c r="H15" s="108"/>
      <c r="I15" s="84">
        <v>0.7</v>
      </c>
      <c r="K15" s="108"/>
      <c r="Z15" s="123"/>
      <c r="AC15" s="123"/>
      <c r="AD15" s="108"/>
      <c r="BJ15" s="498" t="s">
        <v>1320</v>
      </c>
      <c r="BK15" s="498"/>
      <c r="BL15" s="498"/>
      <c r="BM15" s="498"/>
      <c r="BN15" s="498"/>
      <c r="BO15" s="121"/>
      <c r="BP15" s="121"/>
      <c r="BQ15" s="121"/>
      <c r="BR15" s="121"/>
      <c r="BS15" s="121"/>
      <c r="BT15" s="121"/>
      <c r="BU15" s="121"/>
      <c r="BV15" s="121"/>
      <c r="BW15" s="121"/>
      <c r="BX15" s="121"/>
      <c r="BY15" s="121"/>
      <c r="CH15" s="230" t="s">
        <v>460</v>
      </c>
      <c r="CI15" s="237" t="str">
        <f>IF(OR('3. EC Modelling Info'!$D$19=$BJ$6,AND('3. EC Modelling Info'!$D$19=$BJ$11,'3. EC Modelling Info'!$D$22=$BR$3)),'4. Results &amp; Compliance'!$G$42,'4. Results &amp; Compliance'!$G$48)</f>
        <v/>
      </c>
      <c r="CJ15" s="237" t="str">
        <f>IF(OR('3. EC Modelling Info'!$D$19=$BJ$6,AND('3. EC Modelling Info'!$D$19=$BJ$11,'3. EC Modelling Info'!$D$22=$BR$3)),'4. Results &amp; Compliance'!$G$60,'4. Results &amp; Compliance'!$G$66)</f>
        <v/>
      </c>
      <c r="CK15" s="102"/>
      <c r="CL15" s="101" t="str">
        <f>IF(OR($CI$4="",$CI$4=0),$CM$15,"")</f>
        <v/>
      </c>
      <c r="CM15" s="220" t="s">
        <v>1409</v>
      </c>
      <c r="CN15" s="102"/>
      <c r="CP15" s="102"/>
      <c r="CQ15" s="104"/>
      <c r="DK15" s="274">
        <v>45</v>
      </c>
      <c r="DL15" s="274" t="s">
        <v>81</v>
      </c>
      <c r="DM15" s="274" t="str">
        <f t="shared" si="0"/>
        <v>45Yes</v>
      </c>
      <c r="DN15" s="277">
        <v>355.65</v>
      </c>
      <c r="DP15" s="28" t="s">
        <v>1112</v>
      </c>
      <c r="EU15" s="296" t="s">
        <v>1019</v>
      </c>
      <c r="EX15" s="291"/>
      <c r="FF15" s="28" t="s">
        <v>1013</v>
      </c>
      <c r="FG15" s="307" t="s">
        <v>686</v>
      </c>
      <c r="FH15" s="343" t="s">
        <v>848</v>
      </c>
      <c r="FI15" s="496" t="str">
        <f t="shared" si="1"/>
        <v>Cellulose / loose fill / Advanced Fiber Technology / AFT Carbon Smart / 25.2 kg/m3 / R3.8-inch</v>
      </c>
      <c r="FJ15" s="314">
        <v>1.3591402874535976</v>
      </c>
      <c r="FK15" s="312" t="s">
        <v>576</v>
      </c>
      <c r="FL15" s="299">
        <f>FJ15*3.8/5.679/CONVERT(1,"in","m")</f>
        <v>35.804886162472258</v>
      </c>
      <c r="FM15" s="298" t="s">
        <v>1005</v>
      </c>
    </row>
    <row r="16" spans="1:169" ht="15.75">
      <c r="A16" s="28" t="s">
        <v>372</v>
      </c>
      <c r="I16" s="84">
        <v>0.75</v>
      </c>
      <c r="K16" s="108"/>
      <c r="Z16" s="123"/>
      <c r="AC16" s="123"/>
      <c r="AD16" s="108"/>
      <c r="BJ16" s="498" t="s">
        <v>1382</v>
      </c>
      <c r="BO16" s="121"/>
      <c r="BP16" s="121"/>
      <c r="BQ16" s="121"/>
      <c r="BR16" s="121"/>
      <c r="BS16" s="121"/>
      <c r="BT16" s="121"/>
      <c r="BU16" s="121"/>
      <c r="BV16" s="121"/>
      <c r="BW16" s="121"/>
      <c r="BX16" s="121"/>
      <c r="BY16" s="121"/>
      <c r="CH16" s="230" t="s">
        <v>461</v>
      </c>
      <c r="CI16" s="237">
        <f>IF(OR('3. EC Modelling Info'!$D$19=$BJ$6,AND('3. EC Modelling Info'!$D$19=$BJ$11,'3. EC Modelling Info'!$D$22=$BR$3)),'4. Results &amp; Compliance'!$H$42,'4. Results &amp; Compliance'!H$48)</f>
        <v>1063313.5887</v>
      </c>
      <c r="CJ16" s="237" t="str">
        <f>IF(OR('3. EC Modelling Info'!$D$19=$BJ$6,AND('3. EC Modelling Info'!$D$19=$BJ$11,'3. EC Modelling Info'!$D$22=$BR$3)),'4. Results &amp; Compliance'!$H$60,'4. Results &amp; Compliance'!$H$66)</f>
        <v/>
      </c>
      <c r="CL16" s="101" t="str">
        <f>IF(OR($CI$5="",$CI$5=0),$CM$16,"")</f>
        <v/>
      </c>
      <c r="CM16" s="28" t="s">
        <v>1408</v>
      </c>
      <c r="CP16" s="102"/>
      <c r="CQ16" s="104"/>
      <c r="DK16" s="275">
        <v>45</v>
      </c>
      <c r="DL16" s="275" t="s">
        <v>75</v>
      </c>
      <c r="DM16" s="275" t="str">
        <f t="shared" si="0"/>
        <v>45No</v>
      </c>
      <c r="DN16" s="278">
        <v>335.06</v>
      </c>
      <c r="DP16" s="229" t="str">
        <f>'7. ILCs - Design '!C113</f>
        <v>Key Product</v>
      </c>
      <c r="DQ16" s="229" t="str">
        <f>'7. ILCs - Design '!I113</f>
        <v>Software Tool A4 Embodied Carbon (kgCO2e)</v>
      </c>
      <c r="DR16" s="229" t="str">
        <f>'7. ILCs - Design '!D113</f>
        <v xml:space="preserve"> Weight (tonne)</v>
      </c>
      <c r="DS16" s="229" t="str">
        <f>'7. ILCs - Design '!E113</f>
        <v xml:space="preserve"> Assumed Transport Distance (km)</v>
      </c>
      <c r="DT16" s="229" t="str">
        <f>'7. ILCs - Design '!F113</f>
        <v xml:space="preserve">Mode of Transport </v>
      </c>
      <c r="DU16" s="274" t="str">
        <f>DP2</f>
        <v>Concrete mixing truck</v>
      </c>
      <c r="DV16" s="275" t="str">
        <f>DP5</f>
        <v>Truck: Light-Duty (Vehicle-km)</v>
      </c>
      <c r="DW16" s="274" t="str">
        <f>DP3</f>
        <v>Truck: Medium- and Heavy-Duty (Weight)</v>
      </c>
      <c r="DX16" s="275" t="str">
        <f>DP4</f>
        <v>Truck: Medium- and Heavy-Duty (Vehicle-km)</v>
      </c>
      <c r="DY16" s="274" t="str">
        <f>DP6</f>
        <v>Aircraft</v>
      </c>
      <c r="DZ16" s="275" t="str">
        <f>DP7</f>
        <v>Waterborne Craft</v>
      </c>
      <c r="EA16" s="274" t="str">
        <f>DP8</f>
        <v>Rail</v>
      </c>
      <c r="EB16" s="229" t="s">
        <v>1087</v>
      </c>
      <c r="EC16" s="382"/>
      <c r="ES16" s="280" t="s">
        <v>581</v>
      </c>
      <c r="ET16" s="284" t="s">
        <v>635</v>
      </c>
      <c r="EU16" s="286" t="s">
        <v>1520</v>
      </c>
      <c r="EV16" s="281">
        <v>26.45</v>
      </c>
      <c r="EW16" s="28" t="s">
        <v>562</v>
      </c>
      <c r="EX16" s="299">
        <f>EV16/0.017</f>
        <v>1555.8823529411764</v>
      </c>
      <c r="EY16" s="298" t="s">
        <v>1005</v>
      </c>
      <c r="FF16" s="28" t="s">
        <v>1013</v>
      </c>
      <c r="FG16" s="307" t="s">
        <v>687</v>
      </c>
      <c r="FH16" s="343" t="s">
        <v>849</v>
      </c>
      <c r="FI16" s="496" t="str">
        <f t="shared" si="1"/>
        <v xml:space="preserve">Cellulose / loose fill / Greenfiber / Sanctuary / Avg of all facilties / 17.1 kg/m3 / R3.8-inch </v>
      </c>
      <c r="FJ16" s="314">
        <v>0.9180470502000001</v>
      </c>
      <c r="FK16" s="312" t="s">
        <v>576</v>
      </c>
      <c r="FL16" s="299">
        <f>FJ16*3.8/5.679/CONVERT(1,"in","m")</f>
        <v>24.184825089534172</v>
      </c>
      <c r="FM16" s="298" t="s">
        <v>1005</v>
      </c>
    </row>
    <row r="17" spans="1:170" ht="31.5">
      <c r="A17" s="28" t="s">
        <v>373</v>
      </c>
      <c r="I17" s="84">
        <v>0.8</v>
      </c>
      <c r="Z17" s="123"/>
      <c r="AC17" s="123"/>
      <c r="AD17" s="108"/>
      <c r="BJ17" s="121"/>
      <c r="BK17" s="121"/>
      <c r="BL17" s="121"/>
      <c r="BM17" s="121"/>
      <c r="BN17" s="121"/>
      <c r="BO17" s="121"/>
      <c r="BP17" s="121"/>
      <c r="BQ17" s="121"/>
      <c r="BR17" s="121"/>
      <c r="BS17" s="121"/>
      <c r="BT17" s="121"/>
      <c r="BU17" s="121"/>
      <c r="BV17" s="121"/>
      <c r="BW17" s="121"/>
      <c r="BX17" s="121"/>
      <c r="BY17" s="121"/>
      <c r="CH17" s="101"/>
      <c r="CI17" s="102"/>
      <c r="CJ17" s="102"/>
      <c r="CK17" s="102"/>
      <c r="CL17" s="28" t="str">
        <f>IF(NOT($CI$6="Yes"),Table31[[#This Row],[Message]],"")</f>
        <v/>
      </c>
      <c r="CM17" s="221" t="s">
        <v>1411</v>
      </c>
      <c r="CN17" s="102"/>
      <c r="CO17" s="102"/>
      <c r="CP17" s="122"/>
      <c r="CQ17" s="242"/>
      <c r="DK17" s="274">
        <v>50</v>
      </c>
      <c r="DL17" s="274" t="s">
        <v>81</v>
      </c>
      <c r="DM17" s="274" t="str">
        <f t="shared" si="0"/>
        <v>50Yes</v>
      </c>
      <c r="DN17" s="277">
        <v>379.6</v>
      </c>
      <c r="DP17" s="237" t="str">
        <f>'7. ILCs - Design '!C115</f>
        <v>Concrete</v>
      </c>
      <c r="DQ17" s="237">
        <f>'7. ILCs - Design '!I115</f>
        <v>28000</v>
      </c>
      <c r="DR17" s="237">
        <f>'7. ILCs - Design '!D115</f>
        <v>3700</v>
      </c>
      <c r="DS17" s="237">
        <f>'7. ILCs - Design '!E115</f>
        <v>15</v>
      </c>
      <c r="DT17" s="237" t="str">
        <f>'7. ILCs - Design '!F115</f>
        <v>Concrete mixing truck</v>
      </c>
      <c r="DU17" s="237">
        <f>$DR17*$DT$2*$DS17</f>
        <v>6108.1200621400567</v>
      </c>
      <c r="DV17" s="237">
        <f>$DT$5*$DS17</f>
        <v>3.6723037461226435</v>
      </c>
      <c r="DW17" s="237">
        <f>$DR17*$DT$3*$DS17</f>
        <v>7070.6799797902286</v>
      </c>
      <c r="DX17" s="237">
        <f>$DT$5*$DS17</f>
        <v>3.6723037461226435</v>
      </c>
      <c r="DY17" s="237">
        <f>$DR17*$DT$6*$DS17</f>
        <v>41283.6476239365</v>
      </c>
      <c r="DZ17" s="237">
        <f>$DR17*$DT$7*$DS17</f>
        <v>2927.1094539991805</v>
      </c>
      <c r="EA17" s="237">
        <f>$DR17*$DT$8*$DS17</f>
        <v>798.30257836341298</v>
      </c>
      <c r="EB17" s="237">
        <f>IF(DT17=$DU$16,DU17,IF(DT17=$DV$16,DV17,IF(DT17=$DW$16,DW17,IF(DT17=$DX$16,DX17,IF(DT17=$DY$16,DY17,IF(DT17=$DZ$16,DZ17,IF(DT17=$EA$16,EA17,"")))))))</f>
        <v>6108.1200621400567</v>
      </c>
      <c r="EC17" s="383"/>
      <c r="ES17" s="280" t="s">
        <v>587</v>
      </c>
      <c r="ET17" s="285" t="s">
        <v>639</v>
      </c>
      <c r="EU17" s="286" t="s">
        <v>1521</v>
      </c>
      <c r="EV17" s="28">
        <v>3.51</v>
      </c>
      <c r="EW17" s="28" t="s">
        <v>562</v>
      </c>
      <c r="EX17" s="299">
        <f>EV17/0.004</f>
        <v>877.49999999999989</v>
      </c>
      <c r="EY17" s="298" t="s">
        <v>1005</v>
      </c>
      <c r="FF17" s="28" t="s">
        <v>1013</v>
      </c>
      <c r="FG17" s="280" t="s">
        <v>688</v>
      </c>
      <c r="FH17" s="343" t="s">
        <v>850</v>
      </c>
      <c r="FI17" s="496" t="str">
        <f t="shared" si="1"/>
        <v>Cellulose / spray applied / International Cellulose Corp. / K-13, ThermoCon / R 3.75-inch</v>
      </c>
      <c r="FJ17" s="313">
        <v>2.4261765</v>
      </c>
      <c r="FK17" s="312" t="s">
        <v>576</v>
      </c>
      <c r="FL17" s="299">
        <f>FJ17*3.75/5.679/CONVERT(1,"in","m")</f>
        <v>63.073666034416064</v>
      </c>
      <c r="FM17" s="298" t="s">
        <v>1005</v>
      </c>
    </row>
    <row r="18" spans="1:170" ht="30">
      <c r="A18" s="28" t="s">
        <v>374</v>
      </c>
      <c r="I18" s="84">
        <v>0.85</v>
      </c>
      <c r="Z18" s="123"/>
      <c r="AC18" s="123"/>
      <c r="AD18" s="108"/>
      <c r="AV18" s="73"/>
      <c r="AW18" s="73"/>
      <c r="AX18" s="73"/>
      <c r="BJ18" s="695" t="s">
        <v>1576</v>
      </c>
      <c r="BK18" s="121"/>
      <c r="BL18" s="121"/>
      <c r="BM18" s="121"/>
      <c r="BN18" s="121"/>
      <c r="BO18" s="121"/>
      <c r="BP18" s="121"/>
      <c r="BQ18" s="121"/>
      <c r="BR18" s="121"/>
      <c r="BS18" s="121"/>
      <c r="BT18" s="121"/>
      <c r="BU18" s="121"/>
      <c r="BV18" s="121"/>
      <c r="BW18" s="121"/>
      <c r="BX18" s="121"/>
      <c r="BY18" s="121"/>
      <c r="CH18" s="490" t="s">
        <v>569</v>
      </c>
      <c r="CI18" s="237">
        <f>IF(ISNUMBER('6. Carbon Storage'!H25),'6. Carbon Storage'!H25,0)</f>
        <v>-96825.357201902851</v>
      </c>
      <c r="CJ18" s="102"/>
      <c r="CK18" s="102"/>
      <c r="CL18" s="101" t="str">
        <f>IF(OR($CI$7="",$CI$7=0),$CM$18,"")</f>
        <v/>
      </c>
      <c r="CM18" s="222" t="s">
        <v>1414</v>
      </c>
      <c r="CN18" s="122"/>
      <c r="CO18" s="122"/>
      <c r="CP18" s="102"/>
      <c r="CQ18" s="104"/>
      <c r="DK18" s="275">
        <v>50</v>
      </c>
      <c r="DL18" s="275" t="s">
        <v>75</v>
      </c>
      <c r="DM18" s="275" t="str">
        <f t="shared" si="0"/>
        <v>50No</v>
      </c>
      <c r="DN18" s="278">
        <v>359.49</v>
      </c>
      <c r="DP18" s="237" t="str">
        <f>'7. ILCs - Design '!C116</f>
        <v xml:space="preserve">Mineral Wool Insulation </v>
      </c>
      <c r="DQ18" s="237">
        <f>'7. ILCs - Design '!I116</f>
        <v>500</v>
      </c>
      <c r="DR18" s="237">
        <f>'7. ILCs - Design '!D116</f>
        <v>72</v>
      </c>
      <c r="DS18" s="237">
        <f>'7. ILCs - Design '!E116</f>
        <v>1500</v>
      </c>
      <c r="DT18" s="237" t="str">
        <f>'7. ILCs - Design '!F116</f>
        <v>Truck: Medium- and Heavy-Duty (Vehicle-km)</v>
      </c>
      <c r="DU18" s="237">
        <f>DR18*$DT$2*DS18</f>
        <v>11886.071472272544</v>
      </c>
      <c r="DV18" s="237">
        <f>$DT$5*$DS18</f>
        <v>367.23037461226437</v>
      </c>
      <c r="DW18" s="237">
        <f>$DR18*$DT$3*$DS18</f>
        <v>13759.161041753958</v>
      </c>
      <c r="DX18" s="237">
        <f>$DT$5*$DS18</f>
        <v>367.23037461226437</v>
      </c>
      <c r="DY18" s="237">
        <f>$DR18*$DT$6*$DS18</f>
        <v>80335.746727660211</v>
      </c>
      <c r="DZ18" s="237">
        <f>$DR18*$DT$7*$DS18</f>
        <v>5695.9967753497567</v>
      </c>
      <c r="EA18" s="237">
        <f>$DR18*$DT$8*$DS18</f>
        <v>1553.4536660044794</v>
      </c>
      <c r="EB18" s="237">
        <f>IF(DT18=$DU$16,DU18,IF(DT18=$DV$16,DV18,IF(DT18=$DW$16,DW18,IF(DT18=$DX$16,DX18,IF(DT18=$DY$16,DY18,IF(DT18=$DZ$16,DZ18,IF(DT18=$EA$16,EA18,"")))))))</f>
        <v>367.23037461226437</v>
      </c>
      <c r="EC18" s="383"/>
      <c r="ES18" s="283" t="s">
        <v>603</v>
      </c>
      <c r="ET18" s="284" t="s">
        <v>644</v>
      </c>
      <c r="EU18" s="286" t="s">
        <v>1522</v>
      </c>
      <c r="EV18" s="28">
        <v>5.31</v>
      </c>
      <c r="EW18" s="28" t="s">
        <v>562</v>
      </c>
      <c r="EX18" s="299">
        <f>EV18/0.004</f>
        <v>1327.4999999999998</v>
      </c>
      <c r="EY18" s="298" t="s">
        <v>1005</v>
      </c>
      <c r="FF18" s="28" t="s">
        <v>1013</v>
      </c>
      <c r="FG18" s="280" t="s">
        <v>690</v>
      </c>
      <c r="FH18" s="343" t="s">
        <v>852</v>
      </c>
      <c r="FI18" s="496" t="str">
        <f t="shared" si="1"/>
        <v>Cob wall / Site mixed / 18" (457 mm) avg. thickness [US]</v>
      </c>
      <c r="FJ18" s="315">
        <v>15.669</v>
      </c>
      <c r="FK18" s="312" t="s">
        <v>997</v>
      </c>
      <c r="FL18" s="299">
        <f>FJ18/(457/1000)</f>
        <v>34.286652078774615</v>
      </c>
      <c r="FM18" s="298" t="s">
        <v>1005</v>
      </c>
      <c r="FN18" s="162"/>
    </row>
    <row r="19" spans="1:170" ht="15.75">
      <c r="A19" s="28" t="s">
        <v>375</v>
      </c>
      <c r="I19" s="84">
        <v>0.9</v>
      </c>
      <c r="Z19" s="123"/>
      <c r="AC19" s="123"/>
      <c r="AD19" s="108"/>
      <c r="BJ19" s="696" t="s">
        <v>254</v>
      </c>
      <c r="BO19" s="121"/>
      <c r="BP19" s="121"/>
      <c r="BQ19" s="121"/>
      <c r="BR19" s="121"/>
      <c r="BS19" s="121"/>
      <c r="BT19" s="121"/>
      <c r="BU19" s="121"/>
      <c r="BV19" s="121"/>
      <c r="BW19" s="121"/>
      <c r="BX19" s="121"/>
      <c r="BY19" s="121"/>
      <c r="CH19" s="101"/>
      <c r="CI19" s="102"/>
      <c r="CJ19" s="102"/>
      <c r="CK19" s="102"/>
      <c r="CL19" s="101" t="str">
        <f>IF(AND($CM$3="",$CI$7=$CL$12,$CI$8=$BR$2,$CI$9=$BV$3),$CM$19,"")</f>
        <v/>
      </c>
      <c r="CM19" s="735" t="s">
        <v>1679</v>
      </c>
      <c r="CN19" s="102"/>
      <c r="CO19" s="102"/>
      <c r="CP19" s="102"/>
      <c r="CQ19" s="104"/>
      <c r="DK19" s="274">
        <v>55</v>
      </c>
      <c r="DL19" s="274" t="s">
        <v>81</v>
      </c>
      <c r="DM19" s="274" t="str">
        <f t="shared" si="0"/>
        <v>55Yes</v>
      </c>
      <c r="DN19" s="277">
        <v>402.11</v>
      </c>
      <c r="DP19" s="237" t="str">
        <f>'7. ILCs - Design '!C117</f>
        <v>Rebar</v>
      </c>
      <c r="DQ19" s="237">
        <f>'7. ILCs - Design '!I117</f>
        <v>1200</v>
      </c>
      <c r="DR19" s="237">
        <f>'7. ILCs - Design '!D117</f>
        <v>117</v>
      </c>
      <c r="DS19" s="237">
        <f>'7. ILCs - Design '!E117</f>
        <v>5000</v>
      </c>
      <c r="DT19" s="237" t="str">
        <f>'7. ILCs - Design '!F117</f>
        <v>Truck: Medium- and Heavy-Duty (Vehicle-km)</v>
      </c>
      <c r="DU19" s="237">
        <f>DR19*$DT$2*DS19</f>
        <v>64382.887141476276</v>
      </c>
      <c r="DV19" s="237">
        <f>$DT$5*$DS19</f>
        <v>1224.1012487075479</v>
      </c>
      <c r="DW19" s="237">
        <f>$DR19*$DT$3*$DS19</f>
        <v>74528.78897616727</v>
      </c>
      <c r="DX19" s="237">
        <f>$DT$5*$DS19</f>
        <v>1224.1012487075479</v>
      </c>
      <c r="DY19" s="237">
        <f>$DR19*$DT$6*$DS19</f>
        <v>435151.96144149278</v>
      </c>
      <c r="DZ19" s="237">
        <f>$DR19*$DT$7*$DS19</f>
        <v>30853.315866477846</v>
      </c>
      <c r="EA19" s="237">
        <f>$DR19*$DT$8*$DS19</f>
        <v>8414.5406908575951</v>
      </c>
      <c r="EB19" s="237">
        <f>IF(DT19=$DU$16,DU19,IF(DT19=$DV$16,DV19,IF(DT19=$DW$16,DW19,IF(DT19=$DX$16,DX19,IF(DT19=$DY$16,DY19,IF(DT19=$DZ$16,DZ19,IF(DT19=$EA$16,EA19,"")))))))</f>
        <v>1224.1012487075479</v>
      </c>
      <c r="EC19" s="383"/>
      <c r="ES19" s="283" t="s">
        <v>604</v>
      </c>
      <c r="ET19" s="284" t="s">
        <v>645</v>
      </c>
      <c r="EU19" s="286" t="s">
        <v>1522</v>
      </c>
      <c r="EV19" s="28">
        <v>4.01</v>
      </c>
      <c r="EW19" s="28" t="s">
        <v>562</v>
      </c>
      <c r="EX19" s="299">
        <f>EV19/0.0025</f>
        <v>1603.9999999999998</v>
      </c>
      <c r="EY19" s="298" t="s">
        <v>1005</v>
      </c>
      <c r="FF19" s="28" t="s">
        <v>1013</v>
      </c>
      <c r="FG19" s="280" t="s">
        <v>692</v>
      </c>
      <c r="FH19" s="343" t="s">
        <v>854</v>
      </c>
      <c r="FI19" s="496" t="str">
        <f t="shared" si="1"/>
        <v>Composite sheathing panel / Continuus Materials / Everboard / Fiberglass facing / 1/2-inch</v>
      </c>
      <c r="FJ19" s="314">
        <v>7.9841767500000005</v>
      </c>
      <c r="FK19" s="312" t="s">
        <v>997</v>
      </c>
      <c r="FL19" s="299">
        <f>FJ19/(CONVERT(0.5,"in","m"))</f>
        <v>628.67533464566941</v>
      </c>
      <c r="FM19" s="298" t="s">
        <v>1005</v>
      </c>
    </row>
    <row r="20" spans="1:170" ht="15.75">
      <c r="A20" s="28" t="s">
        <v>376</v>
      </c>
      <c r="I20" s="84">
        <v>0.95</v>
      </c>
      <c r="Z20" s="123"/>
      <c r="AC20" s="123"/>
      <c r="AD20" s="108"/>
      <c r="BJ20" s="697" t="s">
        <v>1319</v>
      </c>
      <c r="CH20" s="101"/>
      <c r="CI20" s="102"/>
      <c r="CJ20" s="102"/>
      <c r="CK20" s="102"/>
      <c r="CL20" s="101" t="str">
        <f>IF(AND($CM$3="",$CI$7=$CL$12,$CI$8=$BT$2,$CI$9=$BV$4),$CM$20,"")</f>
        <v/>
      </c>
      <c r="CM20" s="735" t="s">
        <v>1680</v>
      </c>
      <c r="CN20" s="102"/>
      <c r="CO20" s="102"/>
      <c r="CP20" s="102"/>
      <c r="CQ20" s="104"/>
      <c r="DK20" s="275">
        <v>55</v>
      </c>
      <c r="DL20" s="275" t="s">
        <v>75</v>
      </c>
      <c r="DM20" s="275" t="str">
        <f t="shared" si="0"/>
        <v>55No</v>
      </c>
      <c r="DN20" s="278">
        <v>376.56</v>
      </c>
      <c r="DP20" s="237" t="str">
        <f>'7. ILCs - Design '!C118</f>
        <v>5/8" Type X Gypsum Wall Board</v>
      </c>
      <c r="DQ20" s="237">
        <f>'7. ILCs - Design '!I118</f>
        <v>2100</v>
      </c>
      <c r="DR20" s="237">
        <f>'7. ILCs - Design '!D118</f>
        <v>254</v>
      </c>
      <c r="DS20" s="237">
        <f>'7. ILCs - Design '!E118</f>
        <v>15000</v>
      </c>
      <c r="DT20" s="237" t="str">
        <f>'7. ILCs - Design '!F118</f>
        <v>Truck: Medium- and Heavy-Duty (Vehicle-km)</v>
      </c>
      <c r="DU20" s="237">
        <f>DR20*$DT$2*DS20</f>
        <v>419314.18804961472</v>
      </c>
      <c r="DV20" s="237">
        <f>$DT$5*$DS20</f>
        <v>3672.3037461226436</v>
      </c>
      <c r="DW20" s="237">
        <f>$DR20*$DT$3*$DS20</f>
        <v>485392.62563965353</v>
      </c>
      <c r="DX20" s="237">
        <f>$DT$5*$DS20</f>
        <v>3672.3037461226436</v>
      </c>
      <c r="DY20" s="237">
        <f>$DR20*$DT$6*$DS20</f>
        <v>2834066.6206702353</v>
      </c>
      <c r="DZ20" s="237">
        <f>$DR20*$DT$7*$DS20</f>
        <v>200942.10846372752</v>
      </c>
      <c r="EA20" s="237">
        <f>$DR20*$DT$8*$DS20</f>
        <v>54802.393217380246</v>
      </c>
      <c r="EB20" s="237">
        <f>IF(DT20=$DU$16,DU20,IF(DT20=$DV$16,DV20,IF(DT20=$DW$16,DW20,IF(DT20=$DX$16,DX20,IF(DT20=$DY$16,DY20,IF(DT20=$DZ$16,DZ20,IF(DT20=$EA$16,EA20,"")))))))</f>
        <v>3672.3037461226436</v>
      </c>
      <c r="EC20" s="383"/>
      <c r="EU20" s="295" t="s">
        <v>666</v>
      </c>
      <c r="EX20" s="291"/>
      <c r="FF20" s="28" t="s">
        <v>1013</v>
      </c>
      <c r="FG20" s="280" t="s">
        <v>691</v>
      </c>
      <c r="FH20" s="343" t="s">
        <v>853</v>
      </c>
      <c r="FI20" s="496" t="str">
        <f t="shared" si="1"/>
        <v>Composite sheathing panel / Continuus Materials / Everboard / Paper facing / 1/2-inch</v>
      </c>
      <c r="FJ20" s="314">
        <v>8.2745104499999993</v>
      </c>
      <c r="FK20" s="312" t="s">
        <v>998</v>
      </c>
      <c r="FL20" s="299">
        <f>FJ20/(CONVERT(0.5,"in","m"))</f>
        <v>651.53625590551178</v>
      </c>
      <c r="FM20" s="298" t="s">
        <v>1005</v>
      </c>
    </row>
    <row r="21" spans="1:170" ht="31.5">
      <c r="A21" s="28" t="s">
        <v>377</v>
      </c>
      <c r="I21" s="84">
        <v>1</v>
      </c>
      <c r="Z21" s="123"/>
      <c r="AC21" s="123"/>
      <c r="AD21" s="108"/>
      <c r="BJ21" s="696" t="s">
        <v>1316</v>
      </c>
      <c r="CH21" s="101"/>
      <c r="CI21" s="734"/>
      <c r="CJ21" s="102"/>
      <c r="CK21" s="102"/>
      <c r="CL21" s="101" t="str">
        <f>IF(AND($CM$3="",OR(AND($CI$7=$CL$12,OR(AND($CI$8=$BT$2,OR($CI$9=$BV$2,$CI$9="")),$CI$8=$BT$3)),$CI$7=$CL$11)),$CM$21,"")</f>
        <v/>
      </c>
      <c r="CM21" s="735" t="s">
        <v>1681</v>
      </c>
      <c r="CN21" s="102"/>
      <c r="CO21" s="102"/>
      <c r="CP21" s="102"/>
      <c r="CQ21" s="104"/>
      <c r="CS21" s="251"/>
      <c r="DK21" s="274">
        <v>60</v>
      </c>
      <c r="DL21" s="274" t="s">
        <v>81</v>
      </c>
      <c r="DM21" s="274" t="str">
        <f t="shared" si="0"/>
        <v>60Yes</v>
      </c>
      <c r="DN21" s="277">
        <v>421.88</v>
      </c>
      <c r="DP21" s="237" t="str">
        <f>'7. ILCs - Design '!C119</f>
        <v xml:space="preserve">Softwood Lumber, kiln dried </v>
      </c>
      <c r="DQ21" s="237">
        <f>'7. ILCs - Design '!I119</f>
        <v>3000</v>
      </c>
      <c r="DR21" s="237">
        <f>'7. ILCs - Design '!D119</f>
        <v>165</v>
      </c>
      <c r="DS21" s="237">
        <f>'7. ILCs - Design '!E119</f>
        <v>200</v>
      </c>
      <c r="DT21" s="237" t="str">
        <f>'7. ILCs - Design '!F119</f>
        <v>Truck: Medium- and Heavy-Duty (Weight)</v>
      </c>
      <c r="DU21" s="237">
        <f>DR21*$DT$2*DS21</f>
        <v>3631.8551720832775</v>
      </c>
      <c r="DV21" s="237">
        <f>$DT$5*$DS21</f>
        <v>48.964049948301913</v>
      </c>
      <c r="DW21" s="237">
        <f>$DR21*$DT$3*$DS21</f>
        <v>4204.1880960914868</v>
      </c>
      <c r="DX21" s="237">
        <f>$DT$5*$DS21</f>
        <v>48.964049948301913</v>
      </c>
      <c r="DY21" s="237">
        <f>$DR21*$DT$6*$DS21</f>
        <v>24547.03372234062</v>
      </c>
      <c r="DZ21" s="237">
        <f>$DR21*$DT$7*$DS21</f>
        <v>1740.443459134648</v>
      </c>
      <c r="EA21" s="237">
        <f>$DR21*$DT$8*$DS21</f>
        <v>474.66639794581312</v>
      </c>
      <c r="EB21" s="237">
        <f>IF(DT21=$DU$16,DU21,IF(DT21=$DV$16,DV21,IF(DT21=$DW$16,DW21,IF(DT21=$DX$16,DX21,IF(DT21=$DY$16,DY21,IF(DT21=$DZ$16,DZ21,IF(DT21=$EA$16,EA21,"")))))))</f>
        <v>4204.1880960914868</v>
      </c>
      <c r="EC21" s="383"/>
      <c r="ES21" s="280" t="s">
        <v>583</v>
      </c>
      <c r="ET21" s="284" t="s">
        <v>582</v>
      </c>
      <c r="EU21" s="286" t="s">
        <v>1523</v>
      </c>
      <c r="EV21" s="281">
        <v>6.5753646750000003</v>
      </c>
      <c r="EW21" s="28" t="s">
        <v>562</v>
      </c>
      <c r="EX21" s="299">
        <f>EV21/CONVERT(0.75,"in","m")</f>
        <v>345.1635</v>
      </c>
      <c r="EY21" s="298" t="s">
        <v>1005</v>
      </c>
      <c r="FF21" s="28" t="s">
        <v>1013</v>
      </c>
      <c r="FG21" s="280" t="s">
        <v>693</v>
      </c>
      <c r="FH21" s="343" t="s">
        <v>855</v>
      </c>
      <c r="FI21" s="496" t="str">
        <f t="shared" si="1"/>
        <v>Composite sheathing panel / Honext / Fire resistant panel / 12 mm [EU]</v>
      </c>
      <c r="FJ21" s="314">
        <v>8.1111244449778006</v>
      </c>
      <c r="FK21" s="312" t="s">
        <v>998</v>
      </c>
      <c r="FL21" s="299">
        <f>FJ21/(12/1000)</f>
        <v>675.92703708148338</v>
      </c>
      <c r="FM21" s="298" t="s">
        <v>1005</v>
      </c>
    </row>
    <row r="22" spans="1:170" ht="31.5">
      <c r="A22" s="28" t="s">
        <v>378</v>
      </c>
      <c r="I22" s="84"/>
      <c r="Z22" s="123"/>
      <c r="AC22" s="123"/>
      <c r="AD22" s="108"/>
      <c r="BJ22" s="697" t="s">
        <v>315</v>
      </c>
      <c r="CH22" s="101"/>
      <c r="CI22" s="102"/>
      <c r="CJ22" s="102"/>
      <c r="CK22" s="102"/>
      <c r="CL22" s="101" t="str">
        <f>IF(AND($CM$5="",$CI$7=$CL$12,$CI$8=$BR$2,$CI$9=$BV$3),$CM$22,"")</f>
        <v/>
      </c>
      <c r="CM22" s="735" t="s">
        <v>1682</v>
      </c>
      <c r="CN22" s="102"/>
      <c r="CO22" s="102"/>
      <c r="CP22" s="102"/>
      <c r="CQ22" s="104"/>
      <c r="DK22" s="275">
        <v>60</v>
      </c>
      <c r="DL22" s="275" t="s">
        <v>75</v>
      </c>
      <c r="DM22" s="275" t="str">
        <f t="shared" si="0"/>
        <v>60No</v>
      </c>
      <c r="DN22" s="278">
        <v>400.43</v>
      </c>
      <c r="ES22" s="280" t="s">
        <v>588</v>
      </c>
      <c r="ET22" s="284" t="s">
        <v>640</v>
      </c>
      <c r="EU22" s="286" t="s">
        <v>1524</v>
      </c>
      <c r="EV22" s="281">
        <v>71.506106404500002</v>
      </c>
      <c r="EW22" s="111" t="s">
        <v>589</v>
      </c>
      <c r="EX22" s="299">
        <f>EV22/CONVERT(3.5,"in","m")</f>
        <v>804.34315415635547</v>
      </c>
      <c r="EY22" s="298" t="s">
        <v>1005</v>
      </c>
      <c r="FF22" s="28" t="s">
        <v>1013</v>
      </c>
      <c r="FG22" s="280" t="s">
        <v>694</v>
      </c>
      <c r="FH22" s="343" t="s">
        <v>856</v>
      </c>
      <c r="FI22" s="496" t="str">
        <f t="shared" si="1"/>
        <v>Composite sheathing panel / James Hardie Europe / Fermacell / 12.5mm [EU]</v>
      </c>
      <c r="FJ22" s="314">
        <v>3.222</v>
      </c>
      <c r="FK22" s="312" t="s">
        <v>562</v>
      </c>
      <c r="FL22" s="299">
        <f>FJ22/(12.5/1000)</f>
        <v>257.76</v>
      </c>
      <c r="FM22" s="298" t="s">
        <v>1005</v>
      </c>
    </row>
    <row r="23" spans="1:170" ht="47.25">
      <c r="A23" s="28" t="s">
        <v>379</v>
      </c>
      <c r="I23" s="124"/>
      <c r="Y23" s="125"/>
      <c r="Z23" s="123"/>
      <c r="AC23" s="123"/>
      <c r="AD23" s="108"/>
      <c r="BJ23" s="697" t="s">
        <v>1315</v>
      </c>
      <c r="CH23" s="101"/>
      <c r="CK23" s="102"/>
      <c r="CL23" s="101" t="str">
        <f>IF(AND($CM$5="",$CI$7=$CL$12,$CI$8=$BR$2,$CI$9=$BV$4),$CM$23,"")</f>
        <v/>
      </c>
      <c r="CM23" s="735" t="s">
        <v>1683</v>
      </c>
      <c r="CN23" s="102"/>
      <c r="CO23" s="102"/>
      <c r="CP23" s="102"/>
      <c r="CQ23" s="104"/>
      <c r="ES23" s="280" t="s">
        <v>590</v>
      </c>
      <c r="ET23" s="290" t="s">
        <v>641</v>
      </c>
      <c r="EU23" s="286" t="s">
        <v>1526</v>
      </c>
      <c r="EV23" s="281">
        <v>10.548</v>
      </c>
      <c r="EW23" s="28" t="s">
        <v>562</v>
      </c>
      <c r="EX23" s="299">
        <f>EV23/CONVERT((3/4+3/8)/2,"in","m")</f>
        <v>738.26771653543312</v>
      </c>
      <c r="EY23" s="298" t="s">
        <v>1005</v>
      </c>
      <c r="FF23" s="28" t="s">
        <v>1013</v>
      </c>
      <c r="FG23" s="307" t="s">
        <v>795</v>
      </c>
      <c r="FH23" s="343" t="s">
        <v>952</v>
      </c>
      <c r="FI23" s="496" t="str">
        <f t="shared" si="1"/>
        <v>Compressed straw board / Durra Panel / Durra Wall &amp; Ceiling Panels / 50 mm / R1.8-inch</v>
      </c>
      <c r="FJ23" s="314">
        <v>36.450000000000003</v>
      </c>
      <c r="FK23" s="312" t="s">
        <v>1009</v>
      </c>
      <c r="FL23" s="299">
        <f>FJ23*1.8/5.679/CONVERT(1,"in","m")</f>
        <v>454.84607609468793</v>
      </c>
      <c r="FM23" s="298" t="s">
        <v>1005</v>
      </c>
    </row>
    <row r="24" spans="1:170" ht="15.75">
      <c r="A24" s="28" t="s">
        <v>380</v>
      </c>
      <c r="I24" s="84"/>
      <c r="Y24" s="125"/>
      <c r="AC24" s="123"/>
      <c r="AD24" s="108"/>
      <c r="BJ24" s="697" t="s">
        <v>1317</v>
      </c>
      <c r="CH24" s="101"/>
      <c r="CL24" s="101" t="str">
        <f>IF(AND($CM$5="",$CI$7=$CL$12,OR(AND($CI$8=$BT$2,OR($CI$9=$BV$2,$CI$9="")),$CI$8=$BT$3)),$CM$24,"")</f>
        <v/>
      </c>
      <c r="CM24" s="736" t="s">
        <v>1684</v>
      </c>
      <c r="CN24" s="102"/>
      <c r="CO24" s="102"/>
      <c r="ES24" s="280" t="s">
        <v>591</v>
      </c>
      <c r="ET24" s="284" t="s">
        <v>642</v>
      </c>
      <c r="EU24" s="286" t="s">
        <v>1525</v>
      </c>
      <c r="EV24" s="281">
        <v>15.589618199999995</v>
      </c>
      <c r="EW24" s="28" t="s">
        <v>562</v>
      </c>
      <c r="EX24" s="299">
        <f>EV24/0.01</f>
        <v>1558.9618199999995</v>
      </c>
      <c r="EY24" s="298" t="s">
        <v>1005</v>
      </c>
      <c r="FF24" s="28" t="s">
        <v>1013</v>
      </c>
      <c r="FG24" s="307" t="s">
        <v>695</v>
      </c>
      <c r="FH24" s="343" t="s">
        <v>857</v>
      </c>
      <c r="FI24" s="496" t="str">
        <f t="shared" si="1"/>
        <v>Compressed straw board / Ekopanely / Ekopanel E60-1200 / 60 mm / R1.45-inch [EU]</v>
      </c>
      <c r="FJ24" s="314">
        <v>77.863500000000016</v>
      </c>
      <c r="FK24" s="312" t="s">
        <v>1009</v>
      </c>
      <c r="FL24" s="299">
        <f>FJ24*1.45/5.679/CONVERT(1,"in","m")</f>
        <v>782.70181064926328</v>
      </c>
      <c r="FM24" s="298" t="s">
        <v>1005</v>
      </c>
    </row>
    <row r="25" spans="1:170" ht="31.5">
      <c r="A25" s="28" t="s">
        <v>381</v>
      </c>
      <c r="I25" s="124"/>
      <c r="Y25" s="125"/>
      <c r="AC25" s="123"/>
      <c r="AD25" s="108"/>
      <c r="BJ25" s="696" t="s">
        <v>1318</v>
      </c>
      <c r="CH25" s="101"/>
      <c r="CL25" s="101" t="str">
        <f>IF(AND('3. EC Modelling Info'!F120="Yes",CJ36=CM29),Table31[[#This Row],[Message]],"")</f>
        <v/>
      </c>
      <c r="CM25" s="220" t="s">
        <v>1407</v>
      </c>
      <c r="CN25" s="102"/>
      <c r="CS25" s="251"/>
      <c r="ES25" s="280" t="s">
        <v>594</v>
      </c>
      <c r="ET25" s="284" t="s">
        <v>593</v>
      </c>
      <c r="EU25" s="286" t="s">
        <v>668</v>
      </c>
      <c r="EV25" s="281">
        <v>895.06675799999994</v>
      </c>
      <c r="EW25" s="28" t="s">
        <v>667</v>
      </c>
      <c r="EX25" s="299">
        <f>EV25</f>
        <v>895.06675799999994</v>
      </c>
      <c r="EY25" s="298" t="s">
        <v>1005</v>
      </c>
      <c r="FF25" s="28" t="s">
        <v>1013</v>
      </c>
      <c r="FG25" s="307" t="s">
        <v>696</v>
      </c>
      <c r="FH25" s="343" t="s">
        <v>858</v>
      </c>
      <c r="FI25" s="496" t="str">
        <f t="shared" si="1"/>
        <v>Compressed straw board/ Ekopanely / Ekopanel E40-800 / 40 mm / R1.45-inch [EU]</v>
      </c>
      <c r="FJ25" s="314">
        <v>77.11080882352941</v>
      </c>
      <c r="FK25" s="312" t="s">
        <v>1009</v>
      </c>
      <c r="FL25" s="299">
        <f>FJ25*1.45/5.679/CONVERT(1,"in","m")</f>
        <v>775.1355858239823</v>
      </c>
      <c r="FM25" s="298" t="s">
        <v>1005</v>
      </c>
    </row>
    <row r="26" spans="1:170" ht="47.25">
      <c r="A26" s="28" t="s">
        <v>382</v>
      </c>
      <c r="I26" s="84"/>
      <c r="Y26" s="125"/>
      <c r="BJ26" s="697" t="s">
        <v>179</v>
      </c>
      <c r="CH26" s="101"/>
      <c r="CL26" s="559" t="s">
        <v>537</v>
      </c>
      <c r="CM26" s="220" t="str">
        <f>IFERROR(VLOOKUP("*Error*",CL15:CL25,1,FALSE),"")</f>
        <v/>
      </c>
      <c r="CN26" s="233"/>
      <c r="ES26" s="283" t="s">
        <v>596</v>
      </c>
      <c r="ET26" s="290" t="s">
        <v>595</v>
      </c>
      <c r="EU26" s="286" t="s">
        <v>1527</v>
      </c>
      <c r="EV26" s="281">
        <v>19.899000000000001</v>
      </c>
      <c r="EW26" s="28" t="s">
        <v>562</v>
      </c>
      <c r="EX26" s="299">
        <f>EV26/CONVERT(3/4,"in","m")</f>
        <v>1044.5669291338584</v>
      </c>
      <c r="EY26" s="298" t="s">
        <v>1005</v>
      </c>
      <c r="FF26" s="28" t="s">
        <v>1013</v>
      </c>
      <c r="FG26" s="280" t="s">
        <v>697</v>
      </c>
      <c r="FH26" s="343" t="s">
        <v>859</v>
      </c>
      <c r="FI26" s="496" t="str">
        <f t="shared" si="1"/>
        <v>Cork board insulation / Amorim  / Expanded Insulation Corkboard (ICB) / R3.6-inch, 115 kg/m3 [EU]</v>
      </c>
      <c r="FJ26" s="316">
        <v>7.6320000000000006</v>
      </c>
      <c r="FK26" s="312" t="s">
        <v>1009</v>
      </c>
      <c r="FL26" s="299">
        <f>FJ26*3.6/5.679/CONVERT(1,"in","m")</f>
        <v>190.47381359421991</v>
      </c>
      <c r="FM26" s="298" t="s">
        <v>1005</v>
      </c>
    </row>
    <row r="27" spans="1:170" ht="15.75">
      <c r="A27" s="28" t="s">
        <v>383</v>
      </c>
      <c r="I27" s="124"/>
      <c r="Y27" s="125"/>
      <c r="CH27" s="101"/>
      <c r="CQ27" s="104"/>
      <c r="ES27" s="283" t="s">
        <v>597</v>
      </c>
      <c r="ET27" s="284" t="s">
        <v>598</v>
      </c>
      <c r="EU27" s="286" t="s">
        <v>1528</v>
      </c>
      <c r="EV27" s="281">
        <v>13.811625000000001</v>
      </c>
      <c r="EW27" s="28" t="s">
        <v>562</v>
      </c>
      <c r="EX27" s="299">
        <f>EV27/0.02</f>
        <v>690.58125000000007</v>
      </c>
      <c r="EY27" s="298" t="s">
        <v>1005</v>
      </c>
      <c r="FF27" s="28" t="s">
        <v>1013</v>
      </c>
      <c r="FG27" s="280" t="s">
        <v>706</v>
      </c>
      <c r="FH27" s="343" t="s">
        <v>867</v>
      </c>
      <c r="FI27" s="496" t="str">
        <f t="shared" si="1"/>
        <v>Drywall 1/2" / National Gypsum / Gold Bond XP Gypsum Board / 1/2"</v>
      </c>
      <c r="FJ27" s="316">
        <v>0.49410000000000004</v>
      </c>
      <c r="FK27" s="312">
        <v>0</v>
      </c>
      <c r="FL27" s="299">
        <f>FJ27/(CONVERT(0.5,"in","m"))</f>
        <v>38.905511811023629</v>
      </c>
      <c r="FM27" s="298" t="s">
        <v>1005</v>
      </c>
      <c r="FN27" s="162"/>
    </row>
    <row r="28" spans="1:170" ht="31.5">
      <c r="A28" s="28" t="s">
        <v>384</v>
      </c>
      <c r="I28" s="84"/>
      <c r="Y28" s="125"/>
      <c r="CH28" s="236" t="s">
        <v>1217</v>
      </c>
      <c r="CI28" s="236" t="s">
        <v>1210</v>
      </c>
      <c r="CJ28" s="236" t="s">
        <v>1218</v>
      </c>
      <c r="CL28" s="390" t="s">
        <v>1502</v>
      </c>
      <c r="CM28" s="390" t="s">
        <v>1427</v>
      </c>
      <c r="ES28" s="283" t="s">
        <v>600</v>
      </c>
      <c r="ET28" s="284" t="s">
        <v>599</v>
      </c>
      <c r="EU28" s="286" t="s">
        <v>632</v>
      </c>
      <c r="EV28" s="281">
        <v>880.50663855000005</v>
      </c>
      <c r="EW28" s="28" t="s">
        <v>667</v>
      </c>
      <c r="EX28" s="299">
        <f>EV28</f>
        <v>880.50663855000005</v>
      </c>
      <c r="EY28" s="298" t="s">
        <v>1005</v>
      </c>
      <c r="FF28" s="28" t="s">
        <v>1013</v>
      </c>
      <c r="FG28" s="280" t="s">
        <v>707</v>
      </c>
      <c r="FH28" s="343" t="s">
        <v>868</v>
      </c>
      <c r="FI28" s="496" t="str">
        <f t="shared" si="1"/>
        <v>Drywall 5/8" / National Gypsum / Gold Bond XP Fire-Shield Gypsum Board / 5/8" type X</v>
      </c>
      <c r="FJ28" s="316">
        <v>0.47430000000000005</v>
      </c>
      <c r="FK28" s="312" t="s">
        <v>997</v>
      </c>
      <c r="FL28" s="299">
        <f>FJ28/(CONVERT(5/8,"in","m"))</f>
        <v>29.87716535433071</v>
      </c>
      <c r="FM28" s="298" t="s">
        <v>1005</v>
      </c>
    </row>
    <row r="29" spans="1:170" ht="45">
      <c r="A29" s="28" t="s">
        <v>385</v>
      </c>
      <c r="I29" s="124"/>
      <c r="Y29" s="125"/>
      <c r="CH29" s="230" t="s">
        <v>1219</v>
      </c>
      <c r="CI29" s="217" t="str">
        <f>'7. ILCs - Design '!$I$24</f>
        <v>Yes</v>
      </c>
      <c r="CJ29" s="621">
        <f>IF($CI$29="Yes",'7. ILCs - Design '!$H$26,"")</f>
        <v>0.03</v>
      </c>
      <c r="CL29" s="391">
        <f>IF(CJ29=$CM$29,1,0)</f>
        <v>0</v>
      </c>
      <c r="CM29" s="593" t="s">
        <v>1428</v>
      </c>
      <c r="ES29" s="283" t="s">
        <v>601</v>
      </c>
      <c r="ET29" s="285" t="s">
        <v>602</v>
      </c>
      <c r="EU29" s="286" t="s">
        <v>631</v>
      </c>
      <c r="EV29" s="281">
        <v>865.20103200000005</v>
      </c>
      <c r="EW29" s="28" t="s">
        <v>667</v>
      </c>
      <c r="EX29" s="299">
        <f>EV29</f>
        <v>865.20103200000005</v>
      </c>
      <c r="EY29" s="298" t="s">
        <v>1005</v>
      </c>
      <c r="FF29" s="28" t="s">
        <v>1013</v>
      </c>
      <c r="FG29" s="280" t="s">
        <v>689</v>
      </c>
      <c r="FH29" s="343" t="s">
        <v>851</v>
      </c>
      <c r="FI29" s="496" t="str">
        <f t="shared" si="1"/>
        <v>Earthen Floor / Cast-in-place / Clay, sand, and straw / 4" (100 mm) [US]</v>
      </c>
      <c r="FJ29" s="315">
        <v>2.79</v>
      </c>
      <c r="FK29" s="312" t="s">
        <v>997</v>
      </c>
      <c r="FL29" s="299">
        <f>FJ29/(100/1000)</f>
        <v>27.9</v>
      </c>
      <c r="FM29" s="298" t="s">
        <v>1005</v>
      </c>
    </row>
    <row r="30" spans="1:170" ht="31.5">
      <c r="A30" s="28" t="s">
        <v>386</v>
      </c>
      <c r="I30" s="84"/>
      <c r="Y30" s="125"/>
      <c r="CH30" s="230" t="s">
        <v>1220</v>
      </c>
      <c r="CI30" s="217" t="str">
        <f>'7. ILCs - Design '!$I$70</f>
        <v>Yes</v>
      </c>
      <c r="CJ30" s="621">
        <f>IF($CI$30="Yes",'7. ILCs - Design '!$H$72,"")</f>
        <v>0.03</v>
      </c>
      <c r="CL30" s="392">
        <f t="shared" ref="CL30:CL35" si="2">IF(CJ30="Enter data",1,0)</f>
        <v>0</v>
      </c>
      <c r="CQ30" s="104"/>
      <c r="ES30" s="283" t="s">
        <v>606</v>
      </c>
      <c r="ET30" s="284" t="s">
        <v>605</v>
      </c>
      <c r="EU30" s="286" t="s">
        <v>630</v>
      </c>
      <c r="EV30" s="281">
        <v>21.801056791499999</v>
      </c>
      <c r="EW30" s="28" t="s">
        <v>562</v>
      </c>
      <c r="EX30" s="299">
        <f>EV30/CONVERT(7/8,"in","m")</f>
        <v>980.92493999999988</v>
      </c>
      <c r="EY30" s="298" t="s">
        <v>1005</v>
      </c>
      <c r="FF30" s="28" t="s">
        <v>1013</v>
      </c>
      <c r="FG30" s="280" t="s">
        <v>716</v>
      </c>
      <c r="FH30" s="343" t="s">
        <v>877</v>
      </c>
      <c r="FI30" s="496" t="str">
        <f t="shared" si="1"/>
        <v>Fiber Cement roofing / Cembrit / Corrugated sheets / 6.5 mm / [EU]</v>
      </c>
      <c r="FJ30" s="315">
        <v>0.68210999999999988</v>
      </c>
      <c r="FK30" s="312" t="s">
        <v>997</v>
      </c>
      <c r="FL30" s="299">
        <f>FJ30/(6.5/1000)</f>
        <v>104.93999999999998</v>
      </c>
      <c r="FM30" s="298" t="s">
        <v>1005</v>
      </c>
      <c r="FN30" s="162"/>
    </row>
    <row r="31" spans="1:170" ht="31.5">
      <c r="A31" s="28" t="s">
        <v>387</v>
      </c>
      <c r="I31" s="124"/>
      <c r="Y31" s="125"/>
      <c r="CH31" s="230" t="s">
        <v>1221</v>
      </c>
      <c r="CI31" s="217" t="str">
        <f>'7. ILCs - Design '!$I$106</f>
        <v>Yes</v>
      </c>
      <c r="CJ31" s="621">
        <f>IF($CI$31="Yes",'7. ILCs - Design '!$H$108,"")</f>
        <v>0.02</v>
      </c>
      <c r="CL31" s="391">
        <f t="shared" si="2"/>
        <v>0</v>
      </c>
      <c r="CQ31" s="104"/>
      <c r="ES31" s="283" t="s">
        <v>608</v>
      </c>
      <c r="ET31" s="285" t="s">
        <v>607</v>
      </c>
      <c r="EU31" s="286" t="s">
        <v>627</v>
      </c>
      <c r="EV31" s="281">
        <v>14.785572651300001</v>
      </c>
      <c r="EW31" s="28" t="s">
        <v>562</v>
      </c>
      <c r="EX31" s="299">
        <f>EV31/CONVERT(3/4,"in","m")</f>
        <v>776.14554599999997</v>
      </c>
      <c r="EY31" s="298" t="s">
        <v>1005</v>
      </c>
      <c r="FF31" s="28" t="s">
        <v>1013</v>
      </c>
      <c r="FG31" s="280" t="s">
        <v>717</v>
      </c>
      <c r="FH31" s="343" t="s">
        <v>878</v>
      </c>
      <c r="FI31" s="496" t="str">
        <f t="shared" si="1"/>
        <v>Fiber Cement roofing / Cembrit / Slates / 4 mm / [EU]</v>
      </c>
      <c r="FJ31" s="315">
        <v>0.42735000000000012</v>
      </c>
      <c r="FK31" s="312" t="s">
        <v>997</v>
      </c>
      <c r="FL31" s="299">
        <f>FJ31/(4/1000)</f>
        <v>106.83750000000003</v>
      </c>
      <c r="FM31" s="298" t="s">
        <v>1005</v>
      </c>
      <c r="FN31" s="162"/>
    </row>
    <row r="32" spans="1:170" ht="17.25">
      <c r="A32" s="28" t="s">
        <v>388</v>
      </c>
      <c r="Y32" s="125"/>
      <c r="CH32" s="230" t="s">
        <v>1222</v>
      </c>
      <c r="CI32" s="217" t="str">
        <f>'7. ILCs - Design '!$I$129</f>
        <v>Yes</v>
      </c>
      <c r="CJ32" s="621">
        <f>IF($CI$32="Yes",'7. ILCs - Design '!$H$131,"")</f>
        <v>0.05</v>
      </c>
      <c r="CL32" s="392">
        <f t="shared" si="2"/>
        <v>0</v>
      </c>
      <c r="CQ32" s="104"/>
      <c r="ES32" s="283" t="s">
        <v>612</v>
      </c>
      <c r="ET32" s="287" t="s">
        <v>611</v>
      </c>
      <c r="EU32" s="286" t="s">
        <v>1529</v>
      </c>
      <c r="EV32" s="281">
        <v>753.08400000000006</v>
      </c>
      <c r="EW32" s="28" t="s">
        <v>667</v>
      </c>
      <c r="EX32" s="299">
        <f t="shared" ref="EX32:EX39" si="3">EV32</f>
        <v>753.08400000000006</v>
      </c>
      <c r="EY32" s="298" t="s">
        <v>1005</v>
      </c>
      <c r="FF32" s="28" t="s">
        <v>1013</v>
      </c>
      <c r="FG32" s="307" t="s">
        <v>719</v>
      </c>
      <c r="FH32" s="343" t="s">
        <v>880</v>
      </c>
      <c r="FI32" s="496" t="str">
        <f t="shared" si="1"/>
        <v>Fiber Cement siding / Equitone / Linea|Lunara sheets / 10 mm [EU]</v>
      </c>
      <c r="FJ32" s="317">
        <v>1.3624875000000001</v>
      </c>
      <c r="FK32" s="312" t="s">
        <v>997</v>
      </c>
      <c r="FL32" s="299">
        <f>FJ32/(10/1000)</f>
        <v>136.24875</v>
      </c>
      <c r="FM32" s="298" t="s">
        <v>1005</v>
      </c>
      <c r="FN32" s="162"/>
    </row>
    <row r="33" spans="1:170" ht="17.25">
      <c r="A33" s="28" t="s">
        <v>389</v>
      </c>
      <c r="Y33" s="125"/>
      <c r="CH33" s="230" t="s">
        <v>1223</v>
      </c>
      <c r="CI33" s="217" t="str">
        <f>'7. ILCs - Design '!$I$155</f>
        <v>Yes</v>
      </c>
      <c r="CJ33" s="621">
        <f>IF($CI$33="Yes",'7. ILCs - Design '!$H$157,"")</f>
        <v>0.05</v>
      </c>
      <c r="CL33" s="391">
        <f t="shared" si="2"/>
        <v>0</v>
      </c>
      <c r="CQ33" s="104"/>
      <c r="ES33" s="283" t="s">
        <v>615</v>
      </c>
      <c r="ET33" s="287" t="s">
        <v>614</v>
      </c>
      <c r="EU33" s="286" t="s">
        <v>629</v>
      </c>
      <c r="EV33" s="281">
        <v>759.69</v>
      </c>
      <c r="EW33" s="28" t="s">
        <v>667</v>
      </c>
      <c r="EX33" s="299">
        <f t="shared" si="3"/>
        <v>759.69</v>
      </c>
      <c r="EY33" s="298" t="s">
        <v>1005</v>
      </c>
      <c r="FF33" s="28" t="s">
        <v>1013</v>
      </c>
      <c r="FG33" s="307" t="s">
        <v>718</v>
      </c>
      <c r="FH33" s="343" t="s">
        <v>879</v>
      </c>
      <c r="FI33" s="496" t="str">
        <f t="shared" si="1"/>
        <v>Fiber Cement siding / Equitone / Pictura, Natura Pro, sheets / 8 mm [EU]</v>
      </c>
      <c r="FJ33" s="314">
        <v>2.3199000000000005</v>
      </c>
      <c r="FK33" s="312" t="s">
        <v>997</v>
      </c>
      <c r="FL33" s="299">
        <f>FJ33/(8/1000)</f>
        <v>289.98750000000007</v>
      </c>
      <c r="FM33" s="298" t="s">
        <v>1005</v>
      </c>
      <c r="FN33" s="162"/>
    </row>
    <row r="34" spans="1:170" ht="15.75">
      <c r="A34" s="28" t="s">
        <v>390</v>
      </c>
      <c r="CH34" s="230" t="s">
        <v>1224</v>
      </c>
      <c r="CI34" s="217" t="str">
        <f>'7. ILCs - Design '!$I$176</f>
        <v>Yes</v>
      </c>
      <c r="CJ34" s="621">
        <f>IF($CI$34="Yes",'7. ILCs - Design '!$H$178,"")</f>
        <v>0.03</v>
      </c>
      <c r="CL34" s="392">
        <f t="shared" si="2"/>
        <v>0</v>
      </c>
      <c r="CQ34" s="104"/>
      <c r="ES34" s="283" t="s">
        <v>1281</v>
      </c>
      <c r="ET34" s="287" t="s">
        <v>1285</v>
      </c>
      <c r="EU34" s="286" t="s">
        <v>1530</v>
      </c>
      <c r="EV34" s="281">
        <v>10.38</v>
      </c>
      <c r="EW34" s="111" t="s">
        <v>613</v>
      </c>
      <c r="EX34" s="299">
        <f t="shared" si="3"/>
        <v>10.38</v>
      </c>
      <c r="EY34" s="298" t="s">
        <v>1011</v>
      </c>
      <c r="FF34" s="28" t="s">
        <v>1013</v>
      </c>
      <c r="FG34" s="307" t="s">
        <v>720</v>
      </c>
      <c r="FH34" s="343" t="s">
        <v>881</v>
      </c>
      <c r="FI34" s="496" t="str">
        <f t="shared" si="1"/>
        <v>Fiber Cement siding / JamesHardie / Hardie Plank HZ10, Hardie Panel HZ10, Hardie Architectural Panel HZ10 / 8 mm</v>
      </c>
      <c r="FJ34" s="318">
        <v>1.746</v>
      </c>
      <c r="FK34" s="312" t="s">
        <v>562</v>
      </c>
      <c r="FL34" s="299">
        <f>FJ34/(8/1000)</f>
        <v>218.25</v>
      </c>
      <c r="FM34" s="298" t="s">
        <v>1005</v>
      </c>
      <c r="FN34" s="162"/>
    </row>
    <row r="35" spans="1:170" ht="15.75">
      <c r="A35" s="28" t="s">
        <v>391</v>
      </c>
      <c r="CH35" s="230" t="s">
        <v>1225</v>
      </c>
      <c r="CI35" s="217" t="str">
        <f>'7. ILCs - Design '!$I$263</f>
        <v>Yes</v>
      </c>
      <c r="CJ35" s="621">
        <f>IF($CI$35="Yes",'7. ILCs - Design '!$H$265,"")</f>
        <v>2.9182529548891271E-2</v>
      </c>
      <c r="CL35" s="391">
        <f t="shared" si="2"/>
        <v>0</v>
      </c>
      <c r="CQ35" s="104"/>
      <c r="ES35" s="283" t="s">
        <v>1282</v>
      </c>
      <c r="ET35" s="287" t="s">
        <v>1286</v>
      </c>
      <c r="EU35" s="286" t="s">
        <v>1289</v>
      </c>
      <c r="EV35" s="281">
        <v>9.7918000000000003</v>
      </c>
      <c r="EW35" s="111" t="s">
        <v>613</v>
      </c>
      <c r="EX35" s="299">
        <f t="shared" si="3"/>
        <v>9.7918000000000003</v>
      </c>
      <c r="EY35" s="298" t="s">
        <v>1011</v>
      </c>
      <c r="FF35" s="28" t="s">
        <v>1013</v>
      </c>
      <c r="FG35" s="307" t="s">
        <v>721</v>
      </c>
      <c r="FH35" s="343" t="s">
        <v>882</v>
      </c>
      <c r="FI35" s="496" t="str">
        <f t="shared" ref="FI35:FI66" si="4">FH35</f>
        <v>Fiber Cement siding / JamesHardie / Hardie Plank HZ5, Hardie Panel HZ5, Hardie Architectural Panel HZ5 / 8 mm</v>
      </c>
      <c r="FJ35" s="318">
        <v>1.7369999999999999</v>
      </c>
      <c r="FK35" s="312" t="s">
        <v>562</v>
      </c>
      <c r="FL35" s="299">
        <f>FJ35/(8/1000)</f>
        <v>217.12499999999997</v>
      </c>
      <c r="FM35" s="298" t="s">
        <v>1005</v>
      </c>
      <c r="FN35" s="162"/>
    </row>
    <row r="36" spans="1:170" ht="15.75">
      <c r="A36" s="28" t="s">
        <v>392</v>
      </c>
      <c r="CH36" s="101"/>
      <c r="CI36" s="86" t="s">
        <v>1025</v>
      </c>
      <c r="CJ36" s="621">
        <f>IF(CI11="Yes",IF(SUM(CL29:CL35)&gt;0,CM29,IF(SUM($CJ$29:$CJ$35)&gt;0.05,0.05,SUM($CJ$29:$CJ$35))),"Not pursued")</f>
        <v>0.05</v>
      </c>
      <c r="CQ36" s="104"/>
      <c r="ES36" s="283" t="s">
        <v>1283</v>
      </c>
      <c r="ET36" s="287" t="s">
        <v>1287</v>
      </c>
      <c r="EU36" s="286" t="s">
        <v>1290</v>
      </c>
      <c r="EV36" s="281">
        <v>8.9008500000000002</v>
      </c>
      <c r="EW36" s="111" t="s">
        <v>613</v>
      </c>
      <c r="EX36" s="299">
        <f t="shared" si="3"/>
        <v>8.9008500000000002</v>
      </c>
      <c r="EY36" s="298" t="s">
        <v>1011</v>
      </c>
      <c r="FF36" s="28" t="s">
        <v>1013</v>
      </c>
      <c r="FG36" s="307" t="s">
        <v>723</v>
      </c>
      <c r="FH36" s="343" t="s">
        <v>884</v>
      </c>
      <c r="FI36" s="496" t="str">
        <f t="shared" si="4"/>
        <v>Fiber Cement siding / JamesHardie / Hardie Shingle HZ10 /  6.3 mm</v>
      </c>
      <c r="FJ36" s="318">
        <v>1.2240000000000002</v>
      </c>
      <c r="FK36" s="312" t="s">
        <v>562</v>
      </c>
      <c r="FL36" s="299">
        <f>FJ36/(6.3/1000)</f>
        <v>194.28571428571431</v>
      </c>
      <c r="FM36" s="298" t="s">
        <v>1005</v>
      </c>
    </row>
    <row r="37" spans="1:170" ht="16.5" thickBot="1">
      <c r="A37" s="28" t="s">
        <v>393</v>
      </c>
      <c r="CH37" s="243"/>
      <c r="CI37" s="233"/>
      <c r="CJ37" s="233"/>
      <c r="CK37" s="233"/>
      <c r="CL37" s="233"/>
      <c r="CM37" s="233"/>
      <c r="CN37" s="233"/>
      <c r="CO37" s="233"/>
      <c r="CP37" s="233"/>
      <c r="CQ37" s="234"/>
      <c r="ES37" s="283" t="s">
        <v>1284</v>
      </c>
      <c r="ET37" s="287" t="s">
        <v>1288</v>
      </c>
      <c r="EU37" s="286" t="s">
        <v>1291</v>
      </c>
      <c r="EV37" s="281">
        <v>8.0099</v>
      </c>
      <c r="EW37" s="111" t="s">
        <v>613</v>
      </c>
      <c r="EX37" s="299">
        <f t="shared" si="3"/>
        <v>8.0099</v>
      </c>
      <c r="EY37" s="298" t="s">
        <v>1011</v>
      </c>
      <c r="FF37" s="28" t="s">
        <v>1013</v>
      </c>
      <c r="FG37" s="307" t="s">
        <v>722</v>
      </c>
      <c r="FH37" s="343" t="s">
        <v>883</v>
      </c>
      <c r="FI37" s="496" t="str">
        <f t="shared" si="4"/>
        <v>Fiber Cement siding / JamesHardie / Hardie Shingle HZ5 / 6.3 mm</v>
      </c>
      <c r="FJ37" s="318">
        <v>1.4040000000000001</v>
      </c>
      <c r="FK37" s="312" t="s">
        <v>562</v>
      </c>
      <c r="FL37" s="299">
        <f>FJ37/(6.3/1000)</f>
        <v>222.85714285714289</v>
      </c>
      <c r="FM37" s="298" t="s">
        <v>1005</v>
      </c>
    </row>
    <row r="38" spans="1:170" ht="48" thickBot="1">
      <c r="A38" s="28" t="s">
        <v>394</v>
      </c>
      <c r="ES38" s="304" t="s">
        <v>672</v>
      </c>
      <c r="ET38" s="305" t="s">
        <v>673</v>
      </c>
      <c r="EU38" s="286" t="s">
        <v>674</v>
      </c>
      <c r="EV38" s="281">
        <v>7.4256000000000002</v>
      </c>
      <c r="EW38" s="111" t="s">
        <v>613</v>
      </c>
      <c r="EX38" s="299">
        <f t="shared" si="3"/>
        <v>7.4256000000000002</v>
      </c>
      <c r="EY38" s="298" t="s">
        <v>1011</v>
      </c>
      <c r="FF38" s="28" t="s">
        <v>1013</v>
      </c>
      <c r="FG38" s="307" t="s">
        <v>736</v>
      </c>
      <c r="FH38" s="343" t="s">
        <v>893</v>
      </c>
      <c r="FI38" s="496" t="str">
        <f t="shared" si="4"/>
        <v>Grass Insulation / Gramitherm 100 batt / R3.5-inch [EU]</v>
      </c>
      <c r="FJ38" s="319">
        <v>2.7378947368421049</v>
      </c>
      <c r="FK38" s="312" t="s">
        <v>576</v>
      </c>
      <c r="FL38" s="299">
        <f>FJ38*3.5/5.679/CONVERT(1,"in","m")</f>
        <v>66.432287339510026</v>
      </c>
      <c r="FM38" s="298" t="s">
        <v>1005</v>
      </c>
    </row>
    <row r="39" spans="1:170" ht="15.75" customHeight="1">
      <c r="A39" s="28" t="s">
        <v>395</v>
      </c>
      <c r="ES39" s="283" t="s">
        <v>619</v>
      </c>
      <c r="ET39" s="287" t="s">
        <v>618</v>
      </c>
      <c r="EU39" s="286" t="s">
        <v>628</v>
      </c>
      <c r="EV39" s="281">
        <v>9.2902324949999997</v>
      </c>
      <c r="EW39" s="111" t="s">
        <v>613</v>
      </c>
      <c r="EX39" s="299">
        <f t="shared" si="3"/>
        <v>9.2902324949999997</v>
      </c>
      <c r="EY39" s="298" t="s">
        <v>1011</v>
      </c>
      <c r="FF39" s="28" t="s">
        <v>1013</v>
      </c>
      <c r="FG39" s="307" t="s">
        <v>746</v>
      </c>
      <c r="FH39" s="343" t="s">
        <v>903</v>
      </c>
      <c r="FI39" s="496" t="str">
        <f t="shared" si="4"/>
        <v>Hemp fiber batt / Ekolution / Hemp fiber insulation / R 3.6-inch [EU]</v>
      </c>
      <c r="FJ39" s="314">
        <v>1.5840000000000003</v>
      </c>
      <c r="FK39" s="312" t="s">
        <v>576</v>
      </c>
      <c r="FL39" s="299">
        <f>FJ39*3.6/5.679/CONVERT(1,"in","m")</f>
        <v>39.53230093464942</v>
      </c>
      <c r="FM39" s="298" t="s">
        <v>1005</v>
      </c>
    </row>
    <row r="40" spans="1:170" ht="15.75">
      <c r="A40" s="28" t="s">
        <v>396</v>
      </c>
      <c r="ES40" s="283"/>
      <c r="EV40" s="281"/>
      <c r="EW40" s="111"/>
      <c r="FF40" s="28" t="s">
        <v>1013</v>
      </c>
      <c r="FG40" s="307" t="s">
        <v>747</v>
      </c>
      <c r="FH40" s="343" t="s">
        <v>904</v>
      </c>
      <c r="FI40" s="496" t="str">
        <f t="shared" si="4"/>
        <v>Hemp fiber batt / KOBE-cz / ECO HempFlex insulation / R 3.6-inch [EU]</v>
      </c>
      <c r="FJ40" s="314">
        <v>1.5840000000000003</v>
      </c>
      <c r="FK40" s="312" t="s">
        <v>576</v>
      </c>
      <c r="FL40" s="299">
        <f>FJ40*3.6/5.679/CONVERT(1,"in","m")</f>
        <v>39.53230093464942</v>
      </c>
      <c r="FM40" s="298" t="s">
        <v>1005</v>
      </c>
    </row>
    <row r="41" spans="1:170" ht="15.75">
      <c r="A41" s="28" t="s">
        <v>397</v>
      </c>
      <c r="FF41" s="28" t="s">
        <v>1013</v>
      </c>
      <c r="FG41" s="280" t="s">
        <v>748</v>
      </c>
      <c r="FH41" s="343" t="s">
        <v>905</v>
      </c>
      <c r="FI41" s="496" t="str">
        <f t="shared" si="4"/>
        <v>Hemp fiber batt / NaturFibre / Hemp Wool / R 3.7-inch</v>
      </c>
      <c r="FJ41" s="315">
        <v>1.71</v>
      </c>
      <c r="FK41" s="312" t="s">
        <v>1007</v>
      </c>
      <c r="FL41" s="299">
        <f>FJ41*3.7/5.679/CONVERT(1,"in","m")</f>
        <v>43.862385664549457</v>
      </c>
      <c r="FM41" s="298" t="s">
        <v>1005</v>
      </c>
    </row>
    <row r="42" spans="1:170" ht="15.75" customHeight="1">
      <c r="A42" s="28" t="s">
        <v>398</v>
      </c>
      <c r="ES42" s="1045" t="s">
        <v>1054</v>
      </c>
      <c r="ET42" s="1045"/>
      <c r="EU42" s="1045"/>
      <c r="EV42" s="1045"/>
      <c r="EW42" s="1045"/>
      <c r="EX42" s="1045"/>
      <c r="EY42" s="1045"/>
      <c r="EZ42" s="478"/>
      <c r="FF42" s="28" t="s">
        <v>1013</v>
      </c>
      <c r="FG42" s="280" t="s">
        <v>750</v>
      </c>
      <c r="FH42" s="343" t="s">
        <v>907</v>
      </c>
      <c r="FI42" s="496" t="str">
        <f t="shared" si="4"/>
        <v>Hempcrete / Cast in-situ / Avg. mix using NHL &amp; PHL / R 2.2-inch / USA</v>
      </c>
      <c r="FJ42" s="315">
        <v>13.17897</v>
      </c>
      <c r="FK42" s="288" t="s">
        <v>576</v>
      </c>
      <c r="FL42" s="299">
        <f>FJ42*2.2/5.679/CONVERT(1,"in","m")</f>
        <v>201.00116051262214</v>
      </c>
      <c r="FM42" s="298" t="s">
        <v>1005</v>
      </c>
      <c r="FN42" s="162"/>
    </row>
    <row r="43" spans="1:170" ht="15.75">
      <c r="A43" s="28" t="s">
        <v>399</v>
      </c>
      <c r="ES43" s="1046"/>
      <c r="ET43" s="1046"/>
      <c r="EU43" s="1046"/>
      <c r="EV43" s="1046"/>
      <c r="EW43" s="1046"/>
      <c r="EX43" s="1046"/>
      <c r="EY43" s="1046"/>
      <c r="EZ43" s="479"/>
      <c r="FF43" s="28" t="s">
        <v>1013</v>
      </c>
      <c r="FG43" s="280" t="s">
        <v>749</v>
      </c>
      <c r="FH43" s="343" t="s">
        <v>906</v>
      </c>
      <c r="FI43" s="496" t="str">
        <f t="shared" si="4"/>
        <v>Hempcrete / Cast in-situ / IsoHemp / R 2.2-inch / [EU]</v>
      </c>
      <c r="FJ43" s="315">
        <v>10.221677549999997</v>
      </c>
      <c r="FK43" s="288" t="s">
        <v>576</v>
      </c>
      <c r="FL43" s="299">
        <f>FJ43*2.2/5.679/CONVERT(1,"in","m")</f>
        <v>155.89754358161645</v>
      </c>
      <c r="FM43" s="298" t="s">
        <v>1005</v>
      </c>
    </row>
    <row r="44" spans="1:170" ht="15.75">
      <c r="A44" s="28" t="s">
        <v>400</v>
      </c>
      <c r="ES44" s="1046"/>
      <c r="ET44" s="1046"/>
      <c r="EU44" s="1046"/>
      <c r="EV44" s="1046"/>
      <c r="EW44" s="1046"/>
      <c r="EX44" s="1046"/>
      <c r="EY44" s="1046"/>
      <c r="EZ44" s="479"/>
      <c r="FF44" s="28" t="s">
        <v>1013</v>
      </c>
      <c r="FG44" s="307" t="s">
        <v>751</v>
      </c>
      <c r="FH44" s="343" t="s">
        <v>908</v>
      </c>
      <c r="FI44" s="496" t="str">
        <f t="shared" si="4"/>
        <v>Hempcrete block / Isohemp / Hemp Block PAL36EX  including mortar / 600 x 300 x 150-360 mm / R 2.0-inch [EU]</v>
      </c>
      <c r="FJ44" s="320">
        <v>11.626686390532544</v>
      </c>
      <c r="FK44" s="341" t="s">
        <v>576</v>
      </c>
      <c r="FL44" s="299">
        <f>FJ44*2/5.679/CONVERT(1,"in","m")</f>
        <v>161.20569067877571</v>
      </c>
      <c r="FM44" s="298" t="s">
        <v>1005</v>
      </c>
    </row>
    <row r="45" spans="1:170" ht="15.75">
      <c r="A45" s="28" t="s">
        <v>401</v>
      </c>
      <c r="ES45" s="1046"/>
      <c r="ET45" s="1046"/>
      <c r="EU45" s="1046"/>
      <c r="EV45" s="1046"/>
      <c r="EW45" s="1046"/>
      <c r="EX45" s="1046"/>
      <c r="EY45" s="1046"/>
      <c r="EZ45" s="479"/>
      <c r="FF45" s="28" t="s">
        <v>1013</v>
      </c>
      <c r="FG45" s="307" t="s">
        <v>752</v>
      </c>
      <c r="FH45" s="343" t="s">
        <v>909</v>
      </c>
      <c r="FI45" s="496" t="str">
        <f t="shared" si="4"/>
        <v>Hempcrete block / Senini / Blocco Ambiente / 20x50x30 / R2.1-inch / 330 kg/m3 [EU]</v>
      </c>
      <c r="FJ45" s="314">
        <v>13.835664335664335</v>
      </c>
      <c r="FK45" s="342" t="s">
        <v>576</v>
      </c>
      <c r="FL45" s="299">
        <f>FJ45*2.1/5.679/CONVERT(1,"in","m")</f>
        <v>201.42516430123902</v>
      </c>
      <c r="FM45" s="298" t="s">
        <v>1005</v>
      </c>
    </row>
    <row r="46" spans="1:170" ht="15.75">
      <c r="A46" s="28" t="s">
        <v>402</v>
      </c>
      <c r="ES46" s="1046"/>
      <c r="ET46" s="1046"/>
      <c r="EU46" s="1046"/>
      <c r="EV46" s="1046"/>
      <c r="EW46" s="1046"/>
      <c r="EX46" s="1046"/>
      <c r="EY46" s="1046"/>
      <c r="EZ46" s="479"/>
      <c r="FF46" s="28" t="s">
        <v>1013</v>
      </c>
      <c r="FG46" s="307" t="s">
        <v>753</v>
      </c>
      <c r="FH46" s="343" t="s">
        <v>910</v>
      </c>
      <c r="FI46" s="496" t="str">
        <f t="shared" si="4"/>
        <v>Hempcrete cast in place / Senini / Bio Beton Jet / R2.7-inch / 230 kg/m3 [EU]</v>
      </c>
      <c r="FJ46" s="314">
        <v>9.8313713013044861</v>
      </c>
      <c r="FK46" s="342" t="s">
        <v>576</v>
      </c>
      <c r="FL46" s="299">
        <f>FJ46*2.7/5.679/CONVERT(1,"in","m")</f>
        <v>184.02307238799469</v>
      </c>
      <c r="FM46" s="298" t="s">
        <v>1005</v>
      </c>
      <c r="FN46" s="162"/>
    </row>
    <row r="47" spans="1:170" ht="15.75">
      <c r="A47" s="28" t="s">
        <v>403</v>
      </c>
      <c r="ES47" s="1046"/>
      <c r="ET47" s="1046"/>
      <c r="EU47" s="1046"/>
      <c r="EV47" s="1046"/>
      <c r="EW47" s="1046"/>
      <c r="EX47" s="1046"/>
      <c r="EY47" s="1046"/>
      <c r="EZ47" s="479"/>
      <c r="FF47" s="28" t="s">
        <v>1013</v>
      </c>
      <c r="FG47" s="307" t="s">
        <v>754</v>
      </c>
      <c r="FH47" s="343" t="s">
        <v>911</v>
      </c>
      <c r="FI47" s="496" t="str">
        <f t="shared" si="4"/>
        <v>Hempcrete dry fill / Senini / Bio Beton Pronto / R2.7-inch / 190 kg/m3 [EU]</v>
      </c>
      <c r="FJ47" s="314">
        <v>9.6245625198854601</v>
      </c>
      <c r="FK47" s="342" t="s">
        <v>576</v>
      </c>
      <c r="FL47" s="299">
        <f>FJ47*2.7/5.679/CONVERT(1,"in","m")</f>
        <v>180.15203688468736</v>
      </c>
      <c r="FM47" s="298" t="s">
        <v>1005</v>
      </c>
      <c r="FN47" s="162"/>
    </row>
    <row r="48" spans="1:170" ht="15.75">
      <c r="A48" s="28" t="s">
        <v>404</v>
      </c>
      <c r="ES48" s="1046"/>
      <c r="ET48" s="1046"/>
      <c r="EU48" s="1046"/>
      <c r="EV48" s="1046"/>
      <c r="EW48" s="1046"/>
      <c r="EX48" s="1046"/>
      <c r="EY48" s="1046"/>
      <c r="EZ48" s="479"/>
      <c r="FF48" s="28" t="s">
        <v>1013</v>
      </c>
      <c r="FG48" s="307" t="s">
        <v>755</v>
      </c>
      <c r="FH48" s="343" t="s">
        <v>912</v>
      </c>
      <c r="FI48" s="496" t="str">
        <f t="shared" si="4"/>
        <v>HempWood / Fibonacci / Natural Laminate Flooring / 16 mm</v>
      </c>
      <c r="FJ48" s="314">
        <v>5.3733782024999996</v>
      </c>
      <c r="FK48" s="312" t="s">
        <v>997</v>
      </c>
      <c r="FL48" s="299">
        <f>FJ48/(16/1000)</f>
        <v>335.83613765624995</v>
      </c>
      <c r="FM48" s="298" t="s">
        <v>1005</v>
      </c>
      <c r="FN48" s="162"/>
    </row>
    <row r="49" spans="1:170" ht="15.75">
      <c r="A49" s="28" t="s">
        <v>405</v>
      </c>
      <c r="ES49" s="1046"/>
      <c r="ET49" s="1046"/>
      <c r="EU49" s="1046"/>
      <c r="EV49" s="1046"/>
      <c r="EW49" s="1046"/>
      <c r="EX49" s="1046"/>
      <c r="EY49" s="1046"/>
      <c r="EZ49" s="479"/>
      <c r="FF49" s="28" t="s">
        <v>1013</v>
      </c>
      <c r="FG49" s="280" t="s">
        <v>765</v>
      </c>
      <c r="FH49" s="343" t="s">
        <v>922</v>
      </c>
      <c r="FI49" s="496" t="str">
        <f t="shared" si="4"/>
        <v>Lime/Cork Plaster (Ext. &amp; Int.) / Diasen / Diathonite Evolution, R3.2-inch / 3/4" [EU]</v>
      </c>
      <c r="FJ49" s="319">
        <v>0.30552390000000001</v>
      </c>
      <c r="FK49" s="312" t="s">
        <v>997</v>
      </c>
      <c r="FL49" s="299">
        <f>FJ49/(CONVERT(0.75,"in","m"))</f>
        <v>16.038</v>
      </c>
      <c r="FM49" s="298" t="s">
        <v>1005</v>
      </c>
      <c r="FN49" s="162"/>
    </row>
    <row r="50" spans="1:170" ht="15.75">
      <c r="A50" s="28" t="s">
        <v>406</v>
      </c>
      <c r="ES50" s="1046"/>
      <c r="ET50" s="1046"/>
      <c r="EU50" s="1046"/>
      <c r="EV50" s="1046"/>
      <c r="EW50" s="1046"/>
      <c r="EX50" s="1046"/>
      <c r="EY50" s="1046"/>
      <c r="EZ50" s="479"/>
      <c r="FF50" s="28" t="s">
        <v>1013</v>
      </c>
      <c r="FG50" s="280" t="s">
        <v>764</v>
      </c>
      <c r="FH50" s="343" t="s">
        <v>921</v>
      </c>
      <c r="FI50" s="496" t="str">
        <f t="shared" si="4"/>
        <v>Lime/Cork Plaster (Ext. &amp; Int.) / Diasen / Diathonite Thermactive.037, R3.9-inch / 3/4" [EU]</v>
      </c>
      <c r="FJ50" s="319">
        <v>0.38833424999999999</v>
      </c>
      <c r="FK50" s="312" t="s">
        <v>997</v>
      </c>
      <c r="FL50" s="299">
        <f>FJ50/(CONVERT(0.75,"in","m"))</f>
        <v>20.384999999999998</v>
      </c>
      <c r="FM50" s="298" t="s">
        <v>1005</v>
      </c>
      <c r="FN50" s="162"/>
    </row>
    <row r="51" spans="1:170" ht="15.75">
      <c r="A51" s="28" t="s">
        <v>407</v>
      </c>
      <c r="ES51" s="1046"/>
      <c r="ET51" s="1046"/>
      <c r="EU51" s="1046"/>
      <c r="EV51" s="1046"/>
      <c r="EW51" s="1046"/>
      <c r="EX51" s="1046"/>
      <c r="EY51" s="1046"/>
      <c r="EZ51" s="479"/>
      <c r="FF51" s="28" t="s">
        <v>1013</v>
      </c>
      <c r="FG51" s="280" t="s">
        <v>763</v>
      </c>
      <c r="FH51" s="343" t="s">
        <v>920</v>
      </c>
      <c r="FI51" s="496" t="str">
        <f t="shared" si="4"/>
        <v>Lime/Cork Plaster (Int.) / Diasen / Diathonite Acoustix, 3/4" [EU]</v>
      </c>
      <c r="FJ51" s="319">
        <v>0.63337059000000007</v>
      </c>
      <c r="FK51" s="312" t="s">
        <v>997</v>
      </c>
      <c r="FL51" s="299">
        <f>FJ51/(CONVERT(0.75,"in","m"))</f>
        <v>33.247800000000005</v>
      </c>
      <c r="FM51" s="298" t="s">
        <v>1005</v>
      </c>
      <c r="FN51" s="162"/>
    </row>
    <row r="52" spans="1:170" ht="15.75">
      <c r="A52" s="28" t="s">
        <v>408</v>
      </c>
      <c r="ES52" s="1046"/>
      <c r="ET52" s="1046"/>
      <c r="EU52" s="1046"/>
      <c r="EV52" s="1046"/>
      <c r="EW52" s="1046"/>
      <c r="EX52" s="1046"/>
      <c r="EY52" s="1046"/>
      <c r="EZ52" s="479"/>
      <c r="FF52" s="28" t="s">
        <v>1013</v>
      </c>
      <c r="FG52" s="280" t="s">
        <v>776</v>
      </c>
      <c r="FH52" s="343" t="s">
        <v>933</v>
      </c>
      <c r="FI52" s="496" t="str">
        <f t="shared" si="4"/>
        <v>MgO board 1/2" / Sinh Build / MAGOXX boards / 1/2" [EU]</v>
      </c>
      <c r="FJ52" s="314">
        <v>0.42669000000000001</v>
      </c>
      <c r="FK52" s="312" t="s">
        <v>997</v>
      </c>
      <c r="FL52" s="299">
        <f>FJ52/(CONVERT(0.75,"in","m"))</f>
        <v>22.398425196850393</v>
      </c>
      <c r="FM52" s="298" t="s">
        <v>1005</v>
      </c>
    </row>
    <row r="53" spans="1:170" ht="17.25">
      <c r="A53" s="28" t="s">
        <v>409</v>
      </c>
      <c r="ES53" s="1046"/>
      <c r="ET53" s="1046"/>
      <c r="EU53" s="1046"/>
      <c r="EV53" s="1046"/>
      <c r="EW53" s="1046"/>
      <c r="EX53" s="1046"/>
      <c r="EY53" s="1046"/>
      <c r="EZ53" s="479"/>
      <c r="FF53" s="28" t="s">
        <v>1013</v>
      </c>
      <c r="FG53" s="280" t="s">
        <v>727</v>
      </c>
      <c r="FH53" s="343" t="s">
        <v>886</v>
      </c>
      <c r="FI53" s="496" t="str">
        <f t="shared" si="4"/>
        <v>Straw bale infill with wood framing (SIP) / R-46 / 14" / double 2x4 @ 30" o/c</v>
      </c>
      <c r="FJ53" s="313">
        <v>72.408255139603099</v>
      </c>
      <c r="FK53" s="312" t="s">
        <v>562</v>
      </c>
      <c r="FL53" s="299">
        <f>FJ53</f>
        <v>72.408255139603099</v>
      </c>
      <c r="FM53" s="298" t="s">
        <v>1030</v>
      </c>
    </row>
    <row r="54" spans="1:170" ht="15.75">
      <c r="A54" s="28" t="s">
        <v>410</v>
      </c>
      <c r="ES54" s="1046"/>
      <c r="ET54" s="1046"/>
      <c r="EU54" s="1046"/>
      <c r="EV54" s="1046"/>
      <c r="EW54" s="1046"/>
      <c r="EX54" s="1046"/>
      <c r="EY54" s="1046"/>
      <c r="EZ54" s="479"/>
      <c r="FF54" s="28" t="s">
        <v>1013</v>
      </c>
      <c r="FG54" s="307" t="s">
        <v>792</v>
      </c>
      <c r="FH54" s="343" t="s">
        <v>949</v>
      </c>
      <c r="FI54" s="496" t="str">
        <f t="shared" si="4"/>
        <v>Straw board / VestaEco Straw Insulation Boards 140 / R 4-inch  [EU]</v>
      </c>
      <c r="FJ54" s="314">
        <v>7.6769999999999996</v>
      </c>
      <c r="FK54" s="312" t="s">
        <v>576</v>
      </c>
      <c r="FL54" s="299">
        <f>FJ54*4/5.679/CONVERT(1,"in","m")</f>
        <v>212.88543369479763</v>
      </c>
      <c r="FM54" s="298" t="s">
        <v>1005</v>
      </c>
      <c r="FN54" s="162"/>
    </row>
    <row r="55" spans="1:170" ht="15.75">
      <c r="A55" s="28" t="s">
        <v>411</v>
      </c>
      <c r="ES55" s="1046"/>
      <c r="ET55" s="1046"/>
      <c r="EU55" s="1046"/>
      <c r="EV55" s="1046"/>
      <c r="EW55" s="1046"/>
      <c r="EX55" s="1046"/>
      <c r="EY55" s="1046"/>
      <c r="EZ55" s="479"/>
      <c r="FF55" s="28" t="s">
        <v>1013</v>
      </c>
      <c r="FG55" s="310" t="s">
        <v>794</v>
      </c>
      <c r="FH55" s="343" t="s">
        <v>951</v>
      </c>
      <c r="FI55" s="496" t="str">
        <f t="shared" si="4"/>
        <v>Straw board sheathing / VestaEco Straw Boards 280 / 30 mm [EU]</v>
      </c>
      <c r="FJ55" s="314">
        <v>10.720072007200722</v>
      </c>
      <c r="FK55" s="312" t="s">
        <v>997</v>
      </c>
      <c r="FL55" s="299">
        <f>FJ55/(30/1000)</f>
        <v>357.3357335733574</v>
      </c>
      <c r="FM55" s="298" t="s">
        <v>1005</v>
      </c>
      <c r="FN55" s="162"/>
    </row>
    <row r="56" spans="1:170" ht="17.25">
      <c r="A56" s="28" t="s">
        <v>412</v>
      </c>
      <c r="ES56" s="1046"/>
      <c r="ET56" s="1046"/>
      <c r="EU56" s="1046"/>
      <c r="EV56" s="1046"/>
      <c r="EW56" s="1046"/>
      <c r="EX56" s="1046"/>
      <c r="EY56" s="1046"/>
      <c r="EZ56" s="479"/>
      <c r="FF56" s="28" t="s">
        <v>1013</v>
      </c>
      <c r="FG56" s="280" t="s">
        <v>797</v>
      </c>
      <c r="FH56" s="343" t="s">
        <v>954</v>
      </c>
      <c r="FI56" s="496" t="str">
        <f t="shared" si="4"/>
        <v>Straw Insulated Panels with wood framing (SIP) / EcoCocon / Prefabricated panel, 40 cm / R35 [EU]</v>
      </c>
      <c r="FJ56" s="313">
        <v>84.975000000000009</v>
      </c>
      <c r="FK56" s="312" t="s">
        <v>997</v>
      </c>
      <c r="FL56" s="299">
        <f t="shared" ref="FL56:FL62" si="5">FJ56</f>
        <v>84.975000000000009</v>
      </c>
      <c r="FM56" s="298" t="s">
        <v>1030</v>
      </c>
      <c r="FN56" s="162"/>
    </row>
    <row r="57" spans="1:170" ht="17.25">
      <c r="A57" s="28" t="s">
        <v>413</v>
      </c>
      <c r="ES57" s="1046"/>
      <c r="ET57" s="1046"/>
      <c r="EU57" s="1046"/>
      <c r="EV57" s="1046"/>
      <c r="EW57" s="1046"/>
      <c r="EX57" s="1046"/>
      <c r="EY57" s="1046"/>
      <c r="FF57" s="28" t="s">
        <v>1013</v>
      </c>
      <c r="FG57" s="280" t="s">
        <v>807</v>
      </c>
      <c r="FH57" s="343" t="s">
        <v>964</v>
      </c>
      <c r="FI57" s="496" t="str">
        <f t="shared" si="4"/>
        <v>Wood chip cement ICF / Nexcem, Faswall / 12" R22 block</v>
      </c>
      <c r="FJ57" s="313">
        <v>58.860032738022497</v>
      </c>
      <c r="FK57" s="312" t="s">
        <v>562</v>
      </c>
      <c r="FL57" s="299">
        <f t="shared" si="5"/>
        <v>58.860032738022497</v>
      </c>
      <c r="FM57" s="298" t="s">
        <v>1030</v>
      </c>
      <c r="FN57" s="162"/>
    </row>
    <row r="58" spans="1:170" ht="17.25">
      <c r="A58" s="28" t="s">
        <v>414</v>
      </c>
      <c r="ES58" s="1046"/>
      <c r="ET58" s="1046"/>
      <c r="EU58" s="1046"/>
      <c r="EV58" s="1046"/>
      <c r="EW58" s="1046"/>
      <c r="EX58" s="1046"/>
      <c r="EY58" s="1046"/>
      <c r="FF58" s="28" t="s">
        <v>1013</v>
      </c>
      <c r="FG58" s="280" t="s">
        <v>806</v>
      </c>
      <c r="FH58" s="343" t="s">
        <v>963</v>
      </c>
      <c r="FI58" s="496" t="str">
        <f t="shared" si="4"/>
        <v>Wood chip cement ICF / Nexcem, Faswall / 14" R28 block</v>
      </c>
      <c r="FJ58" s="313">
        <v>65.055825657814395</v>
      </c>
      <c r="FK58" s="312" t="s">
        <v>562</v>
      </c>
      <c r="FL58" s="299">
        <f t="shared" si="5"/>
        <v>65.055825657814395</v>
      </c>
      <c r="FM58" s="298" t="s">
        <v>1030</v>
      </c>
      <c r="FN58" s="162"/>
    </row>
    <row r="59" spans="1:170" ht="17.25">
      <c r="A59" s="28" t="s">
        <v>415</v>
      </c>
      <c r="ET59" s="288"/>
      <c r="EU59" s="288"/>
      <c r="EV59" s="283"/>
      <c r="EW59" s="287"/>
      <c r="EX59" s="287"/>
      <c r="FF59" s="28" t="s">
        <v>1013</v>
      </c>
      <c r="FG59" s="280" t="s">
        <v>726</v>
      </c>
      <c r="FH59" s="343" t="s">
        <v>1531</v>
      </c>
      <c r="FI59" s="496" t="str">
        <f t="shared" si="4"/>
        <v>Wood chip cement ICF 12" R-21 with Cork Board Inserts (3 in. @ R4/in.), 15M Rebar</v>
      </c>
      <c r="FJ59" s="313">
        <v>81.887577648202196</v>
      </c>
      <c r="FK59" s="312" t="s">
        <v>562</v>
      </c>
      <c r="FL59" s="299">
        <f t="shared" si="5"/>
        <v>81.887577648202196</v>
      </c>
      <c r="FM59" s="298" t="s">
        <v>1030</v>
      </c>
      <c r="FN59" s="162"/>
    </row>
    <row r="60" spans="1:170" ht="17.25">
      <c r="A60" s="28" t="s">
        <v>416</v>
      </c>
      <c r="ET60" s="287"/>
      <c r="EU60" s="287"/>
      <c r="EV60" s="283"/>
      <c r="EW60" s="287"/>
      <c r="EX60" s="287"/>
      <c r="FF60" s="28" t="s">
        <v>1013</v>
      </c>
      <c r="FG60" s="280" t="s">
        <v>729</v>
      </c>
      <c r="FH60" s="343" t="s">
        <v>1532</v>
      </c>
      <c r="FI60" s="496" t="str">
        <f t="shared" si="4"/>
        <v>Wood chip cement ICF 12" R-22 with Mineral Wool Inserts, (3 in. @ R4.2/in.), 15M Rebar</v>
      </c>
      <c r="FJ60" s="313">
        <v>58.860032738022497</v>
      </c>
      <c r="FK60" s="312" t="s">
        <v>562</v>
      </c>
      <c r="FL60" s="299">
        <f t="shared" si="5"/>
        <v>58.860032738022497</v>
      </c>
      <c r="FM60" s="298" t="s">
        <v>1030</v>
      </c>
      <c r="FN60" s="162"/>
    </row>
    <row r="61" spans="1:170" ht="17.25">
      <c r="A61" s="28" t="s">
        <v>417</v>
      </c>
      <c r="FF61" s="28" t="s">
        <v>1013</v>
      </c>
      <c r="FG61" s="280" t="s">
        <v>725</v>
      </c>
      <c r="FH61" s="343" t="s">
        <v>1533</v>
      </c>
      <c r="FI61" s="496" t="str">
        <f t="shared" si="4"/>
        <v>Wood chip cement ICF 14" R-27 with Cork Board Inserts (5 in. @ R4/in.), 15M Rebar</v>
      </c>
      <c r="FJ61" s="313">
        <v>103.43506717478</v>
      </c>
      <c r="FK61" s="312" t="s">
        <v>562</v>
      </c>
      <c r="FL61" s="299">
        <f t="shared" si="5"/>
        <v>103.43506717478</v>
      </c>
      <c r="FM61" s="298" t="s">
        <v>1030</v>
      </c>
      <c r="FN61" s="162"/>
    </row>
    <row r="62" spans="1:170" ht="17.25">
      <c r="A62" s="28" t="s">
        <v>418</v>
      </c>
      <c r="FF62" s="28" t="s">
        <v>1013</v>
      </c>
      <c r="FG62" s="280" t="s">
        <v>728</v>
      </c>
      <c r="FH62" s="343" t="s">
        <v>1534</v>
      </c>
      <c r="FI62" s="496" t="str">
        <f t="shared" si="4"/>
        <v>Wood chip cement ICF 14" R-28 with Mineral Wool Inserts (5 in. @ R4.2/in.), 15M Rebar</v>
      </c>
      <c r="FJ62" s="313">
        <v>65.055825657814395</v>
      </c>
      <c r="FK62" s="312" t="s">
        <v>562</v>
      </c>
      <c r="FL62" s="299">
        <f t="shared" si="5"/>
        <v>65.055825657814395</v>
      </c>
      <c r="FM62" s="298" t="s">
        <v>1030</v>
      </c>
      <c r="FN62" s="162"/>
    </row>
    <row r="63" spans="1:170" ht="15.75">
      <c r="A63" s="28" t="s">
        <v>419</v>
      </c>
      <c r="FF63" s="28" t="s">
        <v>1013</v>
      </c>
      <c r="FG63" s="280" t="s">
        <v>808</v>
      </c>
      <c r="FH63" s="343" t="s">
        <v>965</v>
      </c>
      <c r="FI63" s="496" t="str">
        <f t="shared" si="4"/>
        <v>Wood cladding / BurntWood / ReUse with linseed oil treatment / 18 mm [EU]</v>
      </c>
      <c r="FJ63" s="314">
        <v>2.4500000000000002</v>
      </c>
      <c r="FK63" s="312" t="s">
        <v>562</v>
      </c>
      <c r="FL63" s="299">
        <f>FJ63/(18/1000)</f>
        <v>136.11111111111114</v>
      </c>
      <c r="FM63" s="298" t="s">
        <v>1005</v>
      </c>
      <c r="FN63" s="162"/>
    </row>
    <row r="64" spans="1:170" ht="15.75">
      <c r="A64" s="28" t="s">
        <v>420</v>
      </c>
      <c r="FF64" s="28" t="s">
        <v>1013</v>
      </c>
      <c r="FG64" s="280" t="s">
        <v>811</v>
      </c>
      <c r="FH64" s="343" t="s">
        <v>968</v>
      </c>
      <c r="FI64" s="496" t="str">
        <f t="shared" si="4"/>
        <v>Wood fiber batt / GUTEX / ThermoFlex / R 4-inch [EU]</v>
      </c>
      <c r="FJ64" s="313">
        <v>2.5244999999999997</v>
      </c>
      <c r="FK64" s="341" t="s">
        <v>576</v>
      </c>
      <c r="FL64" s="299">
        <f>FJ64*4/5.679/CONVERT(1,"in","m")</f>
        <v>70.005116238441659</v>
      </c>
      <c r="FM64" s="298" t="s">
        <v>1005</v>
      </c>
      <c r="FN64" s="162"/>
    </row>
    <row r="65" spans="162:169" ht="15.75">
      <c r="FF65" s="28" t="s">
        <v>1013</v>
      </c>
      <c r="FG65" s="280" t="s">
        <v>812</v>
      </c>
      <c r="FH65" s="343" t="s">
        <v>969</v>
      </c>
      <c r="FI65" s="496" t="str">
        <f t="shared" si="4"/>
        <v>Wood fiber batt / Steico / SteicoFlex / R 3.8-inch [EU]</v>
      </c>
      <c r="FJ65" s="320">
        <v>3.0688089065526314</v>
      </c>
      <c r="FK65" s="341" t="s">
        <v>576</v>
      </c>
      <c r="FL65" s="299">
        <f>FJ65*3.8/5.679/CONVERT(1,"in","m")</f>
        <v>80.844011885895384</v>
      </c>
      <c r="FM65" s="298" t="s">
        <v>1005</v>
      </c>
    </row>
    <row r="66" spans="162:169" ht="15.75">
      <c r="FF66" s="28" t="s">
        <v>1013</v>
      </c>
      <c r="FG66" s="280" t="s">
        <v>813</v>
      </c>
      <c r="FH66" s="343" t="s">
        <v>970</v>
      </c>
      <c r="FI66" s="496" t="str">
        <f t="shared" si="4"/>
        <v>Wood fiber board / GUTEX / Multi-Therm / R 3.6-inch, 40-200 mm [EU]</v>
      </c>
      <c r="FJ66" s="314">
        <v>8.7780000000000005</v>
      </c>
      <c r="FK66" s="341" t="s">
        <v>576</v>
      </c>
      <c r="FL66" s="299">
        <f>FJ66*3.6/5.679/CONVERT(1,"in","m")</f>
        <v>219.0748343461822</v>
      </c>
      <c r="FM66" s="298" t="s">
        <v>1005</v>
      </c>
    </row>
    <row r="67" spans="162:169" ht="15.75">
      <c r="FF67" s="28" t="s">
        <v>1013</v>
      </c>
      <c r="FG67" s="280" t="s">
        <v>814</v>
      </c>
      <c r="FH67" s="343" t="s">
        <v>971</v>
      </c>
      <c r="FI67" s="496" t="str">
        <f t="shared" ref="FI67:FI81" si="6">FH67</f>
        <v>Wood fiber board / Pavatex / Isolair, Isoroof, Isolair Multi / R 3.3-inch / 200 kg/m3, 30-80 mm [EU]</v>
      </c>
      <c r="FJ67" s="321">
        <v>13.709828159999999</v>
      </c>
      <c r="FK67" s="312" t="s">
        <v>576</v>
      </c>
      <c r="FL67" s="299">
        <f>FJ67*3.3/5.679/CONVERT(1,"in","m")</f>
        <v>313.64644246727471</v>
      </c>
      <c r="FM67" s="298" t="s">
        <v>1005</v>
      </c>
    </row>
    <row r="68" spans="162:169" ht="15.75">
      <c r="FF68" s="28" t="s">
        <v>1013</v>
      </c>
      <c r="FG68" s="280" t="s">
        <v>817</v>
      </c>
      <c r="FH68" s="343" t="s">
        <v>974</v>
      </c>
      <c r="FI68" s="496" t="str">
        <f t="shared" si="6"/>
        <v>Wood fiber board / Pavatex / Pavatherm / R 3.3-inch / 110 kg/m3 [EU]</v>
      </c>
      <c r="FJ68" s="321">
        <v>7.7982508799999994</v>
      </c>
      <c r="FK68" s="312" t="s">
        <v>576</v>
      </c>
      <c r="FL68" s="299">
        <f>FJ68*3.3/5.679/CONVERT(1,"in","m")</f>
        <v>178.40439846762416</v>
      </c>
      <c r="FM68" s="298" t="s">
        <v>1005</v>
      </c>
    </row>
    <row r="69" spans="162:169" ht="15.75">
      <c r="FF69" s="28" t="s">
        <v>1013</v>
      </c>
      <c r="FG69" s="280" t="s">
        <v>815</v>
      </c>
      <c r="FH69" s="343" t="s">
        <v>972</v>
      </c>
      <c r="FI69" s="496" t="str">
        <f t="shared" si="6"/>
        <v>Wood fiber board / Pavatex / Pavawall GF, Pavawall Bloc, Pavawall GF XL / R 3.3-inch / 130 kg/m3 [EU]</v>
      </c>
      <c r="FJ69" s="321">
        <v>8.9145327599999984</v>
      </c>
      <c r="FK69" s="312" t="s">
        <v>576</v>
      </c>
      <c r="FL69" s="299">
        <f>FJ69*3.3/5.679/CONVERT(1,"in","m")</f>
        <v>203.94212486117519</v>
      </c>
      <c r="FM69" s="298" t="s">
        <v>1005</v>
      </c>
    </row>
    <row r="70" spans="162:169" ht="15.75">
      <c r="FF70" s="28" t="s">
        <v>1013</v>
      </c>
      <c r="FG70" s="280" t="s">
        <v>816</v>
      </c>
      <c r="FH70" s="343" t="s">
        <v>973</v>
      </c>
      <c r="FI70" s="496" t="str">
        <f t="shared" si="6"/>
        <v>Wood fiber board / Pavatex / Pavawall Smart, Pavawall Light, Pavawall FW / R 3.3-inch / 115 kg/m3 [EU]</v>
      </c>
      <c r="FJ70" s="321">
        <v>7.8831511920000015</v>
      </c>
      <c r="FK70" s="312" t="s">
        <v>576</v>
      </c>
      <c r="FL70" s="299">
        <f>FJ70*3.3/5.679/CONVERT(1,"in","m")</f>
        <v>180.34670441868303</v>
      </c>
      <c r="FM70" s="298" t="s">
        <v>1005</v>
      </c>
    </row>
    <row r="71" spans="162:169" ht="15.75">
      <c r="FF71" s="28" t="s">
        <v>1013</v>
      </c>
      <c r="FG71" s="280" t="s">
        <v>819</v>
      </c>
      <c r="FH71" s="343" t="s">
        <v>976</v>
      </c>
      <c r="FI71" s="496" t="str">
        <f t="shared" si="6"/>
        <v>Wood fiber board / Steico / STEICOprotect M dry, STEICOroof dry, STEICOspecial dry, STEICOtop / R 3.6-inch, 140 kg/m3 [EU]</v>
      </c>
      <c r="FJ71" s="320">
        <v>8.799476241499999</v>
      </c>
      <c r="FK71" s="312" t="s">
        <v>576</v>
      </c>
      <c r="FL71" s="299">
        <f>FJ71*3.6/5.679/CONVERT(1,"in","m")</f>
        <v>219.61082250396191</v>
      </c>
      <c r="FM71" s="298" t="s">
        <v>1005</v>
      </c>
    </row>
    <row r="72" spans="162:169" ht="15.75">
      <c r="FF72" s="28" t="s">
        <v>1013</v>
      </c>
      <c r="FG72" s="280" t="s">
        <v>818</v>
      </c>
      <c r="FH72" s="343" t="s">
        <v>975</v>
      </c>
      <c r="FI72" s="496" t="str">
        <f t="shared" si="6"/>
        <v>Wood fiber board / Steico / STEICOprotect S dry, STEICOsafe 40, STEICOuniversal dry / R 3.6-inch, 210 kg/m3 [EU]</v>
      </c>
      <c r="FJ72" s="320">
        <v>13.199214362249998</v>
      </c>
      <c r="FK72" s="312" t="s">
        <v>576</v>
      </c>
      <c r="FL72" s="299">
        <f>FJ72*3.6/5.679/CONVERT(1,"in","m")</f>
        <v>329.41623375594293</v>
      </c>
      <c r="FM72" s="298" t="s">
        <v>1005</v>
      </c>
    </row>
    <row r="73" spans="162:169" ht="15.75">
      <c r="FF73" s="28" t="s">
        <v>1013</v>
      </c>
      <c r="FG73" s="280" t="s">
        <v>820</v>
      </c>
      <c r="FH73" s="343" t="s">
        <v>977</v>
      </c>
      <c r="FI73" s="496" t="str">
        <f t="shared" si="6"/>
        <v>Wood fiber board / Steico / STEICOtherm dry, STEICOprotect L dry, STEICOsafe / R 3.6-inch, 110 kg/m3 [EU]</v>
      </c>
      <c r="FJ73" s="320">
        <v>6.9138741897499996</v>
      </c>
      <c r="FK73" s="312" t="s">
        <v>576</v>
      </c>
      <c r="FL73" s="299">
        <f>FJ73*3.6/5.679/CONVERT(1,"in","m")</f>
        <v>172.55136053882725</v>
      </c>
      <c r="FM73" s="298" t="s">
        <v>1005</v>
      </c>
    </row>
    <row r="74" spans="162:169" ht="15.75">
      <c r="FF74" s="28" t="s">
        <v>1013</v>
      </c>
      <c r="FG74" s="280" t="s">
        <v>810</v>
      </c>
      <c r="FH74" s="343" t="s">
        <v>967</v>
      </c>
      <c r="FI74" s="496" t="str">
        <f t="shared" si="6"/>
        <v>Wood fiber loose fill / GUTEX / ThermoFiber / R 3.8-inch [EU]</v>
      </c>
      <c r="FJ74" s="321">
        <v>2.1964950000000001</v>
      </c>
      <c r="FK74" s="312" t="s">
        <v>576</v>
      </c>
      <c r="FL74" s="299">
        <f>FJ74*3.8/5.679/CONVERT(1,"in","m")</f>
        <v>57.863970450603347</v>
      </c>
      <c r="FM74" s="298" t="s">
        <v>1005</v>
      </c>
    </row>
    <row r="75" spans="162:169" ht="15.75">
      <c r="FF75" s="28" t="s">
        <v>1013</v>
      </c>
      <c r="FG75" s="280" t="s">
        <v>827</v>
      </c>
      <c r="FH75" s="343" t="s">
        <v>984</v>
      </c>
      <c r="FI75" s="496" t="str">
        <f t="shared" si="6"/>
        <v xml:space="preserve">Wood wool boards / Armstrong / Tectum ceiling &amp; wall boards / 2" </v>
      </c>
      <c r="FJ75" s="321">
        <v>13.547584799999997</v>
      </c>
      <c r="FK75" s="312" t="s">
        <v>997</v>
      </c>
      <c r="FL75" s="299">
        <f>FJ75/(CONVERT(2,"in","m"))</f>
        <v>266.68474015748029</v>
      </c>
      <c r="FM75" s="298" t="s">
        <v>1005</v>
      </c>
    </row>
    <row r="76" spans="162:169" ht="15.75">
      <c r="FF76" s="28" t="s">
        <v>1013</v>
      </c>
      <c r="FG76" s="280" t="s">
        <v>831</v>
      </c>
      <c r="FH76" s="343" t="s">
        <v>988</v>
      </c>
      <c r="FI76" s="496" t="str">
        <f t="shared" si="6"/>
        <v>Wool batt / Havelock Wool / Batts / R 3.6-inch</v>
      </c>
      <c r="FJ76" s="313">
        <v>1.6257782392500002</v>
      </c>
      <c r="FK76" s="312" t="s">
        <v>1009</v>
      </c>
      <c r="FL76" s="299">
        <f>FJ76*3.6/5.679/CONVERT(1,"in","m")</f>
        <v>40.574971342825414</v>
      </c>
      <c r="FM76" s="298" t="s">
        <v>1005</v>
      </c>
    </row>
    <row r="77" spans="162:169" ht="15.75">
      <c r="FF77" s="28" t="s">
        <v>1013</v>
      </c>
      <c r="FG77" s="307" t="s">
        <v>832</v>
      </c>
      <c r="FH77" s="343" t="s">
        <v>989</v>
      </c>
      <c r="FI77" s="496" t="str">
        <f t="shared" si="6"/>
        <v>Wool batt / ISOLENA / Optimal batt / 5.5 inch / R 3.8-inch [EU]</v>
      </c>
      <c r="FJ77" s="314">
        <v>1.0954285714285714</v>
      </c>
      <c r="FK77" s="312" t="s">
        <v>1009</v>
      </c>
      <c r="FL77" s="299">
        <f>FJ77*5.5/5.679/CONVERT(1,"in","m")</f>
        <v>41.767758427977803</v>
      </c>
      <c r="FM77" s="298" t="s">
        <v>1005</v>
      </c>
    </row>
    <row r="78" spans="162:169" ht="15.75">
      <c r="FF78" s="28" t="s">
        <v>1013</v>
      </c>
      <c r="FG78" s="307" t="s">
        <v>835</v>
      </c>
      <c r="FH78" s="343" t="s">
        <v>992</v>
      </c>
      <c r="FI78" s="496" t="str">
        <f t="shared" si="6"/>
        <v>Wool batt / Thermafleece / Cosywool Roll / R3.7-inch [EU]</v>
      </c>
      <c r="FJ78" s="314">
        <v>0.7722</v>
      </c>
      <c r="FK78" s="312" t="s">
        <v>576</v>
      </c>
      <c r="FL78" s="299">
        <f>FJ78*3.7/5.679/CONVERT(1,"in","m")</f>
        <v>19.807329947464968</v>
      </c>
      <c r="FM78" s="298" t="s">
        <v>1005</v>
      </c>
    </row>
    <row r="79" spans="162:169" ht="15.75">
      <c r="FF79" s="28" t="s">
        <v>1013</v>
      </c>
      <c r="FG79" s="307" t="s">
        <v>833</v>
      </c>
      <c r="FH79" s="343" t="s">
        <v>990</v>
      </c>
      <c r="FI79" s="496" t="str">
        <f t="shared" si="6"/>
        <v>Wool batt / Thermafleece / Cosywool Slab / R3.8-inch [EU]</v>
      </c>
      <c r="FJ79" s="314">
        <v>0.87749999999999995</v>
      </c>
      <c r="FK79" s="312" t="s">
        <v>576</v>
      </c>
      <c r="FL79" s="299">
        <f>FJ79*3.8/5.679/CONVERT(1,"in","m")</f>
        <v>23.116662715100389</v>
      </c>
      <c r="FM79" s="298" t="s">
        <v>1005</v>
      </c>
    </row>
    <row r="80" spans="162:169" ht="15.75">
      <c r="FF80" s="28" t="s">
        <v>1013</v>
      </c>
      <c r="FG80" s="307" t="s">
        <v>834</v>
      </c>
      <c r="FH80" s="343" t="s">
        <v>991</v>
      </c>
      <c r="FI80" s="496" t="str">
        <f t="shared" si="6"/>
        <v>Wool batt / Thermafleece / UltraWool Slab / R4.1-inch [EU]</v>
      </c>
      <c r="FJ80" s="314">
        <v>0.77310000000000001</v>
      </c>
      <c r="FK80" s="312" t="s">
        <v>576</v>
      </c>
      <c r="FL80" s="299">
        <f>FJ80*4.1/5.679/CONVERT(1,"in","m")</f>
        <v>21.974244106966818</v>
      </c>
      <c r="FM80" s="298" t="s">
        <v>1005</v>
      </c>
    </row>
    <row r="81" spans="162:169" ht="15.75">
      <c r="FF81" s="28" t="s">
        <v>1013</v>
      </c>
      <c r="FG81" s="280" t="s">
        <v>836</v>
      </c>
      <c r="FH81" s="343" t="s">
        <v>993</v>
      </c>
      <c r="FI81" s="496" t="str">
        <f t="shared" si="6"/>
        <v>Wool Loose-fill / Havelock Wool / Loose-fill / R 4.4-inch</v>
      </c>
      <c r="FJ81" s="313">
        <v>0.98981684174999995</v>
      </c>
      <c r="FK81" s="312" t="s">
        <v>576</v>
      </c>
      <c r="FL81" s="299">
        <f>FJ81*4.4/5.679/CONVERT(1,"in","m")</f>
        <v>30.192698501732451</v>
      </c>
      <c r="FM81" s="298" t="s">
        <v>1005</v>
      </c>
    </row>
    <row r="82" spans="162:169">
      <c r="FI82" s="296" t="s">
        <v>1019</v>
      </c>
    </row>
    <row r="83" spans="162:169" ht="15.75">
      <c r="FF83" s="28" t="s">
        <v>1013</v>
      </c>
      <c r="FG83" s="280" t="s">
        <v>681</v>
      </c>
      <c r="FH83" s="343" t="s">
        <v>843</v>
      </c>
      <c r="FI83" s="496" t="str">
        <f t="shared" ref="FI83:FI99" si="7">FH83</f>
        <v>Carpet / Interface / CQUEST BioX / 1.5 mm Modular tile carpet</v>
      </c>
      <c r="FJ83" s="315">
        <v>4.67</v>
      </c>
      <c r="FK83" s="312" t="s">
        <v>562</v>
      </c>
      <c r="FL83" s="299">
        <f>FJ83/(1.5/1000)</f>
        <v>3113.333333333333</v>
      </c>
      <c r="FM83" s="298" t="s">
        <v>1005</v>
      </c>
    </row>
    <row r="84" spans="162:169" ht="15.75">
      <c r="FF84" s="28" t="s">
        <v>1013</v>
      </c>
      <c r="FG84" s="280" t="s">
        <v>698</v>
      </c>
      <c r="FH84" s="343" t="s">
        <v>1031</v>
      </c>
      <c r="FI84" s="496" t="str">
        <f t="shared" si="7"/>
        <v>Cork flooring / Amorim /  Revestimentos S.A. / Cork floating floor planks / 6 mm [EU]</v>
      </c>
      <c r="FJ84" s="315">
        <v>4.7262600000000008</v>
      </c>
      <c r="FK84" s="312" t="s">
        <v>562</v>
      </c>
      <c r="FL84" s="299">
        <f>FJ84/(6/1000)</f>
        <v>787.71000000000015</v>
      </c>
      <c r="FM84" s="298" t="s">
        <v>1005</v>
      </c>
    </row>
    <row r="85" spans="162:169" ht="17.25">
      <c r="FF85" s="28" t="s">
        <v>1013</v>
      </c>
      <c r="FG85" s="280" t="s">
        <v>708</v>
      </c>
      <c r="FH85" s="343" t="s">
        <v>869</v>
      </c>
      <c r="FI85" s="496" t="str">
        <f t="shared" si="7"/>
        <v>Eelgrass accoustic board / Søuld ApS / Søuld Acoustic Mats / Flame retardant, NRC 0.90 [EU]</v>
      </c>
      <c r="FJ85" s="315">
        <v>4.078079999999999</v>
      </c>
      <c r="FK85" s="312" t="s">
        <v>997</v>
      </c>
      <c r="FL85" s="299">
        <f>FJ85</f>
        <v>4.078079999999999</v>
      </c>
      <c r="FM85" s="298" t="s">
        <v>1030</v>
      </c>
    </row>
    <row r="86" spans="162:169" ht="15.75">
      <c r="FF86" s="28" t="s">
        <v>1013</v>
      </c>
      <c r="FG86" s="309" t="s">
        <v>738</v>
      </c>
      <c r="FH86" s="343" t="s">
        <v>895</v>
      </c>
      <c r="FI86" s="496" t="str">
        <f t="shared" si="7"/>
        <v>Hard Bamboo flooring / MOSO / Purebamboo, Topbamboo, Bamboo Supreme, UltraDensity / 9/16" (15mm), High Density</v>
      </c>
      <c r="FJ86" s="320">
        <v>20.91555</v>
      </c>
      <c r="FK86" s="312" t="s">
        <v>1006</v>
      </c>
      <c r="FL86" s="299">
        <f>FJ86/(15/1000)</f>
        <v>1394.3700000000001</v>
      </c>
      <c r="FM86" s="298" t="s">
        <v>1005</v>
      </c>
    </row>
    <row r="87" spans="162:169" ht="15.75">
      <c r="FF87" s="28" t="s">
        <v>1013</v>
      </c>
      <c r="FG87" s="280" t="s">
        <v>737</v>
      </c>
      <c r="FH87" s="343" t="s">
        <v>894</v>
      </c>
      <c r="FI87" s="496" t="str">
        <f t="shared" si="7"/>
        <v>Hard Bamboo flooring / MOSO / Solid &amp; Supra Collection / 20mm, High Density</v>
      </c>
      <c r="FJ87" s="320">
        <v>43.036111111111111</v>
      </c>
      <c r="FK87" s="312" t="s">
        <v>997</v>
      </c>
      <c r="FL87" s="299">
        <f>FJ87/(20/1000)</f>
        <v>2151.8055555555557</v>
      </c>
      <c r="FM87" s="298" t="s">
        <v>1005</v>
      </c>
    </row>
    <row r="88" spans="162:169" ht="15.75">
      <c r="FF88" s="28" t="s">
        <v>1013</v>
      </c>
      <c r="FG88" s="309" t="s">
        <v>761</v>
      </c>
      <c r="FH88" s="343" t="s">
        <v>918</v>
      </c>
      <c r="FI88" s="496" t="str">
        <f t="shared" si="7"/>
        <v>Laminated Bamboo flooring / MOSO / Bamboo Elite &amp; Elite Premium, Industriale /  9/16" (15mm)</v>
      </c>
      <c r="FJ88" s="320">
        <v>15.400799999999998</v>
      </c>
      <c r="FK88" s="312" t="s">
        <v>1006</v>
      </c>
      <c r="FL88" s="299">
        <f>FJ88/(15/1000)</f>
        <v>1026.72</v>
      </c>
      <c r="FM88" s="298" t="s">
        <v>1005</v>
      </c>
    </row>
    <row r="89" spans="162:169" ht="15.75">
      <c r="FF89" s="28" t="s">
        <v>1013</v>
      </c>
      <c r="FG89" s="280" t="s">
        <v>767</v>
      </c>
      <c r="FH89" s="343" t="s">
        <v>924</v>
      </c>
      <c r="FI89" s="496" t="str">
        <f t="shared" si="7"/>
        <v>Linoleum flooring / Forbo / Marmoleum / 2.0 mm sheet style linoleum</v>
      </c>
      <c r="FJ89" s="314">
        <v>2.4569999999999999</v>
      </c>
      <c r="FK89" s="312" t="s">
        <v>997</v>
      </c>
      <c r="FL89" s="299">
        <f>FJ89/(2/1000)</f>
        <v>1228.5</v>
      </c>
      <c r="FM89" s="298" t="s">
        <v>1005</v>
      </c>
    </row>
    <row r="90" spans="162:169" ht="15.75">
      <c r="FF90" s="28" t="s">
        <v>1013</v>
      </c>
      <c r="FG90" s="280" t="s">
        <v>766</v>
      </c>
      <c r="FH90" s="343" t="s">
        <v>923</v>
      </c>
      <c r="FI90" s="496" t="str">
        <f t="shared" si="7"/>
        <v>Linoleum flooring / Forbo / Marmoleum / 2.5 mm sheet style linoleum</v>
      </c>
      <c r="FJ90" s="314">
        <v>3.7530000000000001</v>
      </c>
      <c r="FK90" s="312" t="s">
        <v>997</v>
      </c>
      <c r="FL90" s="299">
        <f>FJ90/(2.5/1000)</f>
        <v>1501.2</v>
      </c>
      <c r="FM90" s="298" t="s">
        <v>1005</v>
      </c>
    </row>
    <row r="91" spans="162:169" ht="15.75">
      <c r="FF91" s="28" t="s">
        <v>1013</v>
      </c>
      <c r="FG91" s="280" t="s">
        <v>768</v>
      </c>
      <c r="FH91" s="343" t="s">
        <v>925</v>
      </c>
      <c r="FI91" s="496" t="str">
        <f t="shared" si="7"/>
        <v>Linoleum flooring / Gerflor  / DLW Linoleum Acousticplus / 4.0 mm sheet style linoleum with Neocare backing</v>
      </c>
      <c r="FJ91" s="316">
        <v>6.2910000000000004</v>
      </c>
      <c r="FK91" s="312" t="s">
        <v>997</v>
      </c>
      <c r="FL91" s="299">
        <f>FJ91/(4/1000)</f>
        <v>1572.75</v>
      </c>
      <c r="FM91" s="298" t="s">
        <v>1005</v>
      </c>
    </row>
    <row r="92" spans="162:169" ht="15.75">
      <c r="FF92" s="28" t="s">
        <v>1013</v>
      </c>
      <c r="FG92" s="280" t="s">
        <v>769</v>
      </c>
      <c r="FH92" s="343" t="s">
        <v>926</v>
      </c>
      <c r="FI92" s="496" t="str">
        <f t="shared" si="7"/>
        <v>Linoleum flooring / Gerflor  / DLW Linoleum Compact / 2.5 mm sheet style linoleum</v>
      </c>
      <c r="FJ92" s="316">
        <v>5.742</v>
      </c>
      <c r="FK92" s="312" t="s">
        <v>997</v>
      </c>
      <c r="FL92" s="299">
        <f>FJ92/(2.5/1000)</f>
        <v>2296.7999999999997</v>
      </c>
      <c r="FM92" s="298" t="s">
        <v>1005</v>
      </c>
    </row>
    <row r="93" spans="162:169" ht="15.75">
      <c r="FF93" s="28" t="s">
        <v>1013</v>
      </c>
      <c r="FG93" s="280" t="s">
        <v>770</v>
      </c>
      <c r="FH93" s="343" t="s">
        <v>927</v>
      </c>
      <c r="FI93" s="496" t="str">
        <f t="shared" si="7"/>
        <v>Linoleum flooring / Mannington / Legato Flooring / 2.2 liquid applied</v>
      </c>
      <c r="FJ93" s="316">
        <v>3.9203999999999999</v>
      </c>
      <c r="FK93" s="312" t="s">
        <v>997</v>
      </c>
      <c r="FL93" s="299">
        <f>FJ93/(2.2/1000)</f>
        <v>1781.9999999999998</v>
      </c>
      <c r="FM93" s="298" t="s">
        <v>1005</v>
      </c>
    </row>
    <row r="94" spans="162:169" ht="15.75">
      <c r="FF94" s="28" t="s">
        <v>1013</v>
      </c>
      <c r="FG94" s="280" t="s">
        <v>772</v>
      </c>
      <c r="FH94" s="343" t="s">
        <v>929</v>
      </c>
      <c r="FI94" s="496" t="str">
        <f t="shared" si="7"/>
        <v>Linoleum flooring / Tarkett  / Lino Acoustic / 3.8 mm sheet style linoleum with polyurethane foam backing</v>
      </c>
      <c r="FJ94" s="316">
        <v>4.7224979999999999</v>
      </c>
      <c r="FK94" s="312" t="s">
        <v>997</v>
      </c>
      <c r="FL94" s="299">
        <f>FJ94/(3.8/1000)</f>
        <v>1242.7626315789473</v>
      </c>
      <c r="FM94" s="298" t="s">
        <v>1005</v>
      </c>
    </row>
    <row r="95" spans="162:169" ht="15.75">
      <c r="FF95" s="28" t="s">
        <v>1013</v>
      </c>
      <c r="FG95" s="280" t="s">
        <v>773</v>
      </c>
      <c r="FH95" s="343" t="s">
        <v>930</v>
      </c>
      <c r="FI95" s="496" t="str">
        <f t="shared" si="7"/>
        <v>Linoleum flooring / Tarkett  / Lino Veneto xf2, Etrusco, Style Elle|Emme, Veneto, Originale, LinoRail, Linosport / 2.5 mm sheet style linoleum</v>
      </c>
      <c r="FJ95" s="316">
        <v>4.1031540000000009</v>
      </c>
      <c r="FK95" s="312" t="s">
        <v>997</v>
      </c>
      <c r="FL95" s="299">
        <f>FJ95/(2.5/1000)</f>
        <v>1641.2616000000003</v>
      </c>
      <c r="FM95" s="298" t="s">
        <v>1005</v>
      </c>
    </row>
    <row r="96" spans="162:169" ht="15.75">
      <c r="FF96" s="28" t="s">
        <v>1013</v>
      </c>
      <c r="FG96" s="280" t="s">
        <v>771</v>
      </c>
      <c r="FH96" s="343" t="s">
        <v>928</v>
      </c>
      <c r="FI96" s="496" t="str">
        <f t="shared" si="7"/>
        <v>Linoleum flooring / Tarkett  / Veneto Acoustic Cork / 4.4 mm sheet style linoleum with cork backing</v>
      </c>
      <c r="FJ96" s="316">
        <v>6.2966640000000007</v>
      </c>
      <c r="FK96" s="312" t="s">
        <v>997</v>
      </c>
      <c r="FL96" s="299">
        <f>FJ96/(4.4/1000)</f>
        <v>1431.0600000000002</v>
      </c>
      <c r="FM96" s="298" t="s">
        <v>1005</v>
      </c>
    </row>
    <row r="97" spans="1:169" ht="15.75">
      <c r="FF97" s="28" t="s">
        <v>1013</v>
      </c>
      <c r="FG97" s="307" t="s">
        <v>796</v>
      </c>
      <c r="FH97" s="343" t="s">
        <v>953</v>
      </c>
      <c r="FI97" s="496" t="str">
        <f t="shared" si="7"/>
        <v>Straw board partition wall / Durra Panel / Durra Wall Panels / 50 mm [AUS]</v>
      </c>
      <c r="FJ97" s="314">
        <v>22.5</v>
      </c>
      <c r="FK97" s="312" t="s">
        <v>562</v>
      </c>
      <c r="FL97" s="299">
        <f>FJ97/(50/1000)</f>
        <v>450</v>
      </c>
      <c r="FM97" s="298" t="s">
        <v>1005</v>
      </c>
    </row>
    <row r="98" spans="1:169" ht="15.75">
      <c r="FF98" s="28" t="s">
        <v>1013</v>
      </c>
      <c r="FG98" s="307" t="s">
        <v>793</v>
      </c>
      <c r="FH98" s="343" t="s">
        <v>950</v>
      </c>
      <c r="FI98" s="496" t="str">
        <f t="shared" si="7"/>
        <v>Straw board partition wall / Ekopanely / Ekopanel E60-1200 / 60 mm  [EU]</v>
      </c>
      <c r="FJ98" s="314">
        <v>48.6</v>
      </c>
      <c r="FK98" s="312" t="s">
        <v>997</v>
      </c>
      <c r="FL98" s="299">
        <f>FJ98/(60/1000)</f>
        <v>810</v>
      </c>
      <c r="FM98" s="298" t="s">
        <v>1005</v>
      </c>
    </row>
    <row r="99" spans="1:169" ht="15.75">
      <c r="FF99" s="28" t="s">
        <v>1013</v>
      </c>
      <c r="FG99" s="280" t="s">
        <v>790</v>
      </c>
      <c r="FH99" s="343" t="s">
        <v>947</v>
      </c>
      <c r="FI99" s="496" t="str">
        <f t="shared" si="7"/>
        <v>Wood tube studs / Wood Tube // 1.5 x 2.5" / Recycled paper, stud only [EU]</v>
      </c>
      <c r="FJ99" s="314">
        <v>40.157480314960623</v>
      </c>
      <c r="FK99" s="312" t="s">
        <v>1008</v>
      </c>
      <c r="FL99" s="299">
        <f>FJ99/(CONVERT(2.5,"in","m"))</f>
        <v>632.40126480252945</v>
      </c>
      <c r="FM99" s="298" t="s">
        <v>1005</v>
      </c>
    </row>
    <row r="101" spans="1:169">
      <c r="FH101" s="295"/>
      <c r="FI101" s="295" t="s">
        <v>666</v>
      </c>
    </row>
    <row r="102" spans="1:169" ht="15.75">
      <c r="FF102" s="280" t="s">
        <v>1014</v>
      </c>
      <c r="FG102" s="280" t="s">
        <v>699</v>
      </c>
      <c r="FH102" s="343" t="s">
        <v>860</v>
      </c>
      <c r="FI102" s="496" t="str">
        <f>_xlfn.CONCAT("Salvaged ",FH102)</f>
        <v>Salvaged Cross Laminated Timber (CLT) / Element5 / Crosslam CLT / 3-1/2"</v>
      </c>
      <c r="FJ102" s="323">
        <v>69.280659</v>
      </c>
      <c r="FK102" s="312" t="s">
        <v>589</v>
      </c>
      <c r="FL102" s="299">
        <f t="shared" ref="FL102:FL108" si="8">FJ102/(CONVERT(3.5,"in","m"))</f>
        <v>779.31</v>
      </c>
      <c r="FM102" s="298" t="s">
        <v>1005</v>
      </c>
    </row>
    <row r="103" spans="1:169" ht="15.75">
      <c r="FF103" s="280" t="s">
        <v>1014</v>
      </c>
      <c r="FG103" s="280" t="s">
        <v>700</v>
      </c>
      <c r="FH103" s="343" t="s">
        <v>861</v>
      </c>
      <c r="FI103" s="496" t="str">
        <f t="shared" ref="FI103:FI134" si="9">_xlfn.CONCAT("Salvaged ",FH103)</f>
        <v>Salvaged Cross Laminated Timber (CLT) / Kalesnikoff / 3-1/2"</v>
      </c>
      <c r="FJ103" s="323">
        <v>83.66085630000002</v>
      </c>
      <c r="FK103" s="312" t="s">
        <v>589</v>
      </c>
      <c r="FL103" s="299">
        <f t="shared" si="8"/>
        <v>941.06700000000012</v>
      </c>
      <c r="FM103" s="298" t="s">
        <v>1005</v>
      </c>
    </row>
    <row r="104" spans="1:169" ht="15.75">
      <c r="CP104" s="127"/>
      <c r="FF104" s="280" t="s">
        <v>1014</v>
      </c>
      <c r="FG104" s="280" t="s">
        <v>701</v>
      </c>
      <c r="FH104" s="343" t="s">
        <v>862</v>
      </c>
      <c r="FI104" s="496" t="str">
        <f t="shared" si="9"/>
        <v>Salvaged Cross Laminated Timber (CLT) / Nordic  / Nordic Lam / 3-1/2"</v>
      </c>
      <c r="FJ104" s="324">
        <v>69.852801869999993</v>
      </c>
      <c r="FK104" s="312" t="s">
        <v>589</v>
      </c>
      <c r="FL104" s="299">
        <f t="shared" si="8"/>
        <v>785.74580281214833</v>
      </c>
      <c r="FM104" s="298" t="s">
        <v>1005</v>
      </c>
    </row>
    <row r="105" spans="1:169" ht="15.75">
      <c r="CH105" s="127"/>
      <c r="CL105" s="127"/>
      <c r="CM105" s="127"/>
      <c r="FF105" s="280" t="s">
        <v>1014</v>
      </c>
      <c r="FG105" s="280" t="s">
        <v>702</v>
      </c>
      <c r="FH105" s="343" t="s">
        <v>863</v>
      </c>
      <c r="FI105" s="496" t="str">
        <f t="shared" si="9"/>
        <v>Salvaged Cross Laminated Timber (CLT) / Nordic  / X-Lam / 3-1/2"</v>
      </c>
      <c r="FJ105" s="324">
        <v>67.079451132000003</v>
      </c>
      <c r="FK105" s="312" t="s">
        <v>589</v>
      </c>
      <c r="FL105" s="299">
        <f t="shared" si="8"/>
        <v>754.54950654668164</v>
      </c>
      <c r="FM105" s="298" t="s">
        <v>1005</v>
      </c>
    </row>
    <row r="106" spans="1:169" ht="15.75">
      <c r="CG106" s="127"/>
      <c r="CI106" s="127"/>
      <c r="CJ106" s="127"/>
      <c r="CK106" s="127"/>
      <c r="CN106" s="127"/>
      <c r="CO106" s="127"/>
      <c r="CQ106" s="127"/>
      <c r="CR106" s="127"/>
      <c r="FF106" s="280" t="s">
        <v>1014</v>
      </c>
      <c r="FG106" s="280" t="s">
        <v>703</v>
      </c>
      <c r="FH106" s="343" t="s">
        <v>864</v>
      </c>
      <c r="FI106" s="496" t="str">
        <f t="shared" si="9"/>
        <v>Salvaged Cross Laminated Timber (CLT) / Structurlam / CrossLam / 3-1/2"</v>
      </c>
      <c r="FJ106" s="324">
        <v>71.135967824999994</v>
      </c>
      <c r="FK106" s="312" t="s">
        <v>589</v>
      </c>
      <c r="FL106" s="299">
        <f t="shared" si="8"/>
        <v>800.17961557930244</v>
      </c>
      <c r="FM106" s="298" t="s">
        <v>1005</v>
      </c>
    </row>
    <row r="107" spans="1:169" ht="15.75">
      <c r="CP107" s="127"/>
      <c r="FF107" s="280" t="s">
        <v>1014</v>
      </c>
      <c r="FG107" s="280" t="s">
        <v>704</v>
      </c>
      <c r="FH107" s="343" t="s">
        <v>865</v>
      </c>
      <c r="FI107" s="496" t="str">
        <f t="shared" si="9"/>
        <v>Salvaged Cross Laminated Timber (CLT) / Vaagen / Crosslam CLT / 3-1/2"</v>
      </c>
      <c r="FJ107" s="323">
        <v>68.026902300000003</v>
      </c>
      <c r="FK107" s="312" t="s">
        <v>589</v>
      </c>
      <c r="FL107" s="299">
        <f t="shared" si="8"/>
        <v>765.20699999999999</v>
      </c>
      <c r="FM107" s="298" t="s">
        <v>1005</v>
      </c>
    </row>
    <row r="108" spans="1:169" ht="15.75">
      <c r="CH108" s="127"/>
      <c r="CL108" s="127"/>
      <c r="CM108" s="127"/>
      <c r="FF108" s="280" t="s">
        <v>1014</v>
      </c>
      <c r="FG108" s="280" t="s">
        <v>705</v>
      </c>
      <c r="FH108" s="343" t="s">
        <v>866</v>
      </c>
      <c r="FI108" s="496" t="str">
        <f t="shared" si="9"/>
        <v>Salvaged Dowel Laminated Timber / StructureCraft / DowelLam / 3-1/2"</v>
      </c>
      <c r="FJ108" s="323">
        <v>73.930040100000014</v>
      </c>
      <c r="FK108" s="312" t="s">
        <v>589</v>
      </c>
      <c r="FL108" s="299">
        <f t="shared" si="8"/>
        <v>831.60900000000004</v>
      </c>
      <c r="FM108" s="298" t="s">
        <v>1005</v>
      </c>
    </row>
    <row r="109" spans="1:169" ht="15.75">
      <c r="CG109" s="127"/>
      <c r="CI109" s="127"/>
      <c r="CJ109" s="127"/>
      <c r="CK109" s="127"/>
      <c r="CN109" s="127"/>
      <c r="CO109" s="127"/>
      <c r="CQ109" s="127"/>
      <c r="CR109" s="127"/>
      <c r="FF109" s="280" t="s">
        <v>1014</v>
      </c>
      <c r="FG109" s="280" t="s">
        <v>709</v>
      </c>
      <c r="FH109" s="343" t="s">
        <v>870</v>
      </c>
      <c r="FI109" s="496" t="str">
        <f t="shared" si="9"/>
        <v>Salvaged Engineered Wood Flooring / CRAFT Artisan Wood Floors / Engineered / 5/8"</v>
      </c>
      <c r="FJ109" s="325">
        <v>12.840293591999997</v>
      </c>
      <c r="FK109" s="312" t="s">
        <v>997</v>
      </c>
      <c r="FL109" s="299">
        <f>FJ109/(CONVERT(5/8,"in","m"))</f>
        <v>808.83739162204699</v>
      </c>
      <c r="FM109" s="298" t="s">
        <v>1005</v>
      </c>
    </row>
    <row r="110" spans="1:169" ht="15.75">
      <c r="FF110" s="280" t="s">
        <v>1014</v>
      </c>
      <c r="FG110" s="280" t="s">
        <v>710</v>
      </c>
      <c r="FH110" s="343" t="s">
        <v>871</v>
      </c>
      <c r="FI110" s="496" t="str">
        <f t="shared" si="9"/>
        <v>Salvaged Engineered Wood flooring / Wickham / Engineered Hardwood / 16 mm</v>
      </c>
      <c r="FJ110" s="326">
        <v>12.141</v>
      </c>
      <c r="FK110" s="312" t="s">
        <v>997</v>
      </c>
      <c r="FL110" s="299">
        <f>FJ110/(16/1000)</f>
        <v>758.8125</v>
      </c>
      <c r="FM110" s="298" t="s">
        <v>1005</v>
      </c>
    </row>
    <row r="111" spans="1:169" ht="15.75">
      <c r="BJ111" s="126"/>
      <c r="BK111" s="126"/>
      <c r="BL111" s="126"/>
      <c r="BM111" s="126"/>
      <c r="BN111" s="126"/>
      <c r="FF111" s="280" t="s">
        <v>1014</v>
      </c>
      <c r="FG111" s="280" t="s">
        <v>715</v>
      </c>
      <c r="FH111" s="343" t="s">
        <v>876</v>
      </c>
      <c r="FI111" s="496" t="str">
        <f t="shared" si="9"/>
        <v>Salvaged Engineered Wood Siding &amp; Trim / LP / BuilderSeries® Lap Siding / 9/32" (7.3 mm)</v>
      </c>
      <c r="FJ111" s="323">
        <v>10.357867799999999</v>
      </c>
      <c r="FK111" s="312" t="s">
        <v>1003</v>
      </c>
      <c r="FL111" s="299">
        <f>FJ111/(CONVERT(9/32,"in","m"))</f>
        <v>1449.9202519685039</v>
      </c>
      <c r="FM111" s="298" t="s">
        <v>1005</v>
      </c>
    </row>
    <row r="112" spans="1:169" s="385" customFormat="1" ht="15.75">
      <c r="A112" s="127"/>
      <c r="B112" s="127"/>
      <c r="C112" s="126"/>
      <c r="D112" s="126"/>
      <c r="E112" s="127"/>
      <c r="F112" s="126"/>
      <c r="G112" s="126"/>
      <c r="H112" s="126"/>
      <c r="I112" s="126"/>
      <c r="J112" s="127"/>
      <c r="K112" s="126"/>
      <c r="L112" s="127"/>
      <c r="M112" s="126"/>
      <c r="N112" s="127"/>
      <c r="O112" s="126"/>
      <c r="P112" s="127"/>
      <c r="Q112" s="126"/>
      <c r="R112" s="127"/>
      <c r="S112" s="126"/>
      <c r="T112" s="127"/>
      <c r="U112" s="127"/>
      <c r="V112" s="127"/>
      <c r="W112" s="126"/>
      <c r="X112" s="127"/>
      <c r="Y112" s="127"/>
      <c r="Z112" s="126"/>
      <c r="AA112" s="127"/>
      <c r="AB112" s="127"/>
      <c r="AC112" s="126"/>
      <c r="AD112" s="127"/>
      <c r="AE112" s="127"/>
      <c r="AF112" s="126"/>
      <c r="AG112" s="126"/>
      <c r="AH112" s="127"/>
      <c r="AI112" s="126"/>
      <c r="AJ112" s="127"/>
      <c r="AK112" s="127"/>
      <c r="AL112" s="127"/>
      <c r="AM112" s="126"/>
      <c r="AN112" s="127"/>
      <c r="AO112" s="127"/>
      <c r="AP112" s="127"/>
      <c r="AQ112" s="127"/>
      <c r="AR112" s="127"/>
      <c r="AS112" s="127"/>
      <c r="AT112" s="127"/>
      <c r="AU112" s="126"/>
      <c r="AV112" s="127"/>
      <c r="AW112" s="127"/>
      <c r="AX112" s="127"/>
      <c r="AY112" s="127"/>
      <c r="AZ112" s="127"/>
      <c r="BA112" s="127"/>
      <c r="BB112" s="126"/>
      <c r="BC112" s="127"/>
      <c r="BD112" s="126"/>
      <c r="BE112" s="127"/>
      <c r="BF112" s="127"/>
      <c r="BG112" s="127"/>
      <c r="BH112" s="126"/>
      <c r="BI112" s="127"/>
      <c r="BJ112" s="86"/>
      <c r="BK112" s="86"/>
      <c r="BL112" s="86"/>
      <c r="BM112" s="86"/>
      <c r="BN112" s="86"/>
      <c r="BO112" s="127"/>
      <c r="BP112" s="127"/>
      <c r="BQ112" s="127"/>
      <c r="BR112" s="126"/>
      <c r="BS112" s="127"/>
      <c r="BT112" s="126"/>
      <c r="BU112" s="127"/>
      <c r="BV112" s="126"/>
      <c r="BW112" s="127"/>
      <c r="BX112" s="126"/>
      <c r="BY112" s="126"/>
      <c r="BZ112" s="127"/>
      <c r="CA112" s="126"/>
      <c r="CB112" s="127"/>
      <c r="CC112" s="126"/>
      <c r="CD112" s="127"/>
      <c r="CE112" s="127"/>
      <c r="CF112" s="127"/>
      <c r="CG112" s="28"/>
      <c r="CH112" s="28"/>
      <c r="CI112" s="28"/>
      <c r="CJ112" s="28"/>
      <c r="CK112" s="28"/>
      <c r="CL112" s="28"/>
      <c r="CM112" s="28"/>
      <c r="CN112" s="28"/>
      <c r="CO112" s="28"/>
      <c r="CP112" s="28"/>
      <c r="CQ112" s="28"/>
      <c r="CR112" s="28"/>
      <c r="CS112" s="127"/>
      <c r="CT112" s="127"/>
      <c r="CU112" s="127"/>
      <c r="CV112" s="127"/>
      <c r="CW112" s="127"/>
      <c r="CX112" s="127"/>
      <c r="CY112" s="127"/>
      <c r="CZ112" s="127"/>
      <c r="DA112" s="127"/>
      <c r="DB112" s="127"/>
      <c r="DC112" s="127"/>
      <c r="DD112" s="127"/>
      <c r="DE112" s="127"/>
      <c r="DF112" s="127"/>
      <c r="DG112" s="127"/>
      <c r="DH112" s="127"/>
      <c r="DI112" s="127"/>
      <c r="DJ112" s="127"/>
      <c r="DK112" s="127"/>
      <c r="DL112" s="127"/>
      <c r="DM112" s="127"/>
      <c r="DN112" s="127"/>
      <c r="DO112" s="127"/>
      <c r="DP112" s="127"/>
      <c r="DQ112" s="127"/>
      <c r="DR112" s="127"/>
      <c r="DS112" s="127"/>
      <c r="DT112" s="127"/>
      <c r="DU112" s="127"/>
      <c r="DV112" s="127"/>
      <c r="DW112" s="127"/>
      <c r="DX112" s="127"/>
      <c r="DY112" s="127"/>
      <c r="DZ112" s="127"/>
      <c r="EA112" s="127"/>
      <c r="EB112" s="127"/>
      <c r="EC112" s="127"/>
      <c r="ED112" s="127"/>
      <c r="EE112" s="127"/>
      <c r="EF112" s="127"/>
      <c r="EG112" s="127"/>
      <c r="EH112" s="127"/>
      <c r="EI112" s="127"/>
      <c r="EJ112" s="127"/>
      <c r="EK112" s="127"/>
      <c r="EL112" s="127"/>
      <c r="EM112" s="127"/>
      <c r="EN112" s="127"/>
      <c r="EO112" s="127"/>
      <c r="EP112" s="127"/>
      <c r="EQ112" s="127"/>
      <c r="ER112" s="127"/>
      <c r="ES112" s="127"/>
      <c r="ET112" s="127"/>
      <c r="EU112" s="127"/>
      <c r="EV112" s="127"/>
      <c r="EW112" s="127"/>
      <c r="EX112" s="127"/>
      <c r="EY112" s="127"/>
      <c r="EZ112" s="127"/>
      <c r="FA112" s="127"/>
      <c r="FB112" s="127"/>
      <c r="FC112" s="127"/>
      <c r="FD112" s="127"/>
      <c r="FE112" s="127"/>
      <c r="FF112" s="280" t="s">
        <v>1014</v>
      </c>
      <c r="FG112" s="280" t="s">
        <v>713</v>
      </c>
      <c r="FH112" s="343" t="s">
        <v>874</v>
      </c>
      <c r="FI112" s="496" t="str">
        <f t="shared" si="9"/>
        <v>Salvaged Engineered Wood Siding &amp; Trim / LP / SmartSide / 0.354" (9 mm)</v>
      </c>
      <c r="FJ112" s="323">
        <v>15.277085999999999</v>
      </c>
      <c r="FK112" s="312" t="s">
        <v>1001</v>
      </c>
      <c r="FL112" s="299">
        <f>FJ112/(9/1000)</f>
        <v>1697.454</v>
      </c>
      <c r="FM112" s="298" t="s">
        <v>1005</v>
      </c>
    </row>
    <row r="113" spans="1:169" ht="15.75">
      <c r="FF113" s="280" t="s">
        <v>1014</v>
      </c>
      <c r="FG113" s="280" t="s">
        <v>712</v>
      </c>
      <c r="FH113" s="343" t="s">
        <v>873</v>
      </c>
      <c r="FI113" s="496" t="str">
        <f t="shared" si="9"/>
        <v>Salvaged Engineered Wood Siding &amp; Trim / LP / SmartSide / 0.418" (10.6 mm)</v>
      </c>
      <c r="FJ113" s="323">
        <v>17.993012399999998</v>
      </c>
      <c r="FK113" s="312" t="s">
        <v>1000</v>
      </c>
      <c r="FL113" s="299">
        <f>FJ113/(10.6/1000)</f>
        <v>1697.4539999999997</v>
      </c>
      <c r="FM113" s="298" t="s">
        <v>1005</v>
      </c>
    </row>
    <row r="114" spans="1:169" ht="15.75">
      <c r="BJ114" s="126"/>
      <c r="BK114" s="126"/>
      <c r="BL114" s="126"/>
      <c r="BM114" s="126"/>
      <c r="BN114" s="126"/>
      <c r="FF114" s="280" t="s">
        <v>1014</v>
      </c>
      <c r="FG114" s="280" t="s">
        <v>711</v>
      </c>
      <c r="FH114" s="343" t="s">
        <v>872</v>
      </c>
      <c r="FI114" s="496" t="str">
        <f t="shared" si="9"/>
        <v>Salvaged Engineered Wood Siding &amp; Trim / LP / SmartSide / 0.578" (14.7mm)</v>
      </c>
      <c r="FJ114" s="323">
        <v>24.952573799999996</v>
      </c>
      <c r="FK114" s="312" t="s">
        <v>999</v>
      </c>
      <c r="FL114" s="299">
        <f>FJ114/(14.7/1000)</f>
        <v>1697.4539999999997</v>
      </c>
      <c r="FM114" s="298" t="s">
        <v>1005</v>
      </c>
    </row>
    <row r="115" spans="1:169" s="385" customFormat="1" ht="15.75">
      <c r="A115" s="127"/>
      <c r="B115" s="127"/>
      <c r="C115" s="126"/>
      <c r="D115" s="126"/>
      <c r="E115" s="127"/>
      <c r="F115" s="126"/>
      <c r="G115" s="126"/>
      <c r="H115" s="126"/>
      <c r="I115" s="126"/>
      <c r="J115" s="127"/>
      <c r="K115" s="126"/>
      <c r="L115" s="127"/>
      <c r="M115" s="126"/>
      <c r="N115" s="127"/>
      <c r="O115" s="126"/>
      <c r="P115" s="127"/>
      <c r="Q115" s="126"/>
      <c r="R115" s="127"/>
      <c r="S115" s="126"/>
      <c r="T115" s="127"/>
      <c r="U115" s="127"/>
      <c r="V115" s="127"/>
      <c r="W115" s="126"/>
      <c r="X115" s="127"/>
      <c r="Y115" s="127"/>
      <c r="Z115" s="126"/>
      <c r="AA115" s="127"/>
      <c r="AB115" s="127"/>
      <c r="AC115" s="126"/>
      <c r="AD115" s="127"/>
      <c r="AE115" s="127"/>
      <c r="AF115" s="126"/>
      <c r="AG115" s="126"/>
      <c r="AH115" s="127"/>
      <c r="AI115" s="126"/>
      <c r="AJ115" s="127"/>
      <c r="AK115" s="127"/>
      <c r="AL115" s="127"/>
      <c r="AM115" s="126"/>
      <c r="AN115" s="127"/>
      <c r="AO115" s="127"/>
      <c r="AP115" s="127"/>
      <c r="AQ115" s="127"/>
      <c r="AR115" s="127"/>
      <c r="AS115" s="127"/>
      <c r="AT115" s="127"/>
      <c r="AU115" s="126"/>
      <c r="AV115" s="127"/>
      <c r="AW115" s="127"/>
      <c r="AX115" s="127"/>
      <c r="AY115" s="127"/>
      <c r="AZ115" s="127"/>
      <c r="BA115" s="127"/>
      <c r="BB115" s="126"/>
      <c r="BC115" s="127"/>
      <c r="BD115" s="126"/>
      <c r="BE115" s="127"/>
      <c r="BF115" s="127"/>
      <c r="BG115" s="127"/>
      <c r="BH115" s="126"/>
      <c r="BI115" s="127"/>
      <c r="BJ115" s="86"/>
      <c r="BK115" s="86"/>
      <c r="BL115" s="86"/>
      <c r="BM115" s="86"/>
      <c r="BN115" s="86"/>
      <c r="BO115" s="127"/>
      <c r="BP115" s="127"/>
      <c r="BQ115" s="127"/>
      <c r="BR115" s="126"/>
      <c r="BS115" s="127"/>
      <c r="BT115" s="126"/>
      <c r="BU115" s="127"/>
      <c r="BV115" s="126"/>
      <c r="BW115" s="127"/>
      <c r="BX115" s="126"/>
      <c r="BY115" s="126"/>
      <c r="BZ115" s="127"/>
      <c r="CA115" s="126"/>
      <c r="CB115" s="127"/>
      <c r="CC115" s="126"/>
      <c r="CD115" s="127"/>
      <c r="CE115" s="127"/>
      <c r="CF115" s="127"/>
      <c r="CG115" s="28"/>
      <c r="CH115" s="28"/>
      <c r="CI115" s="28"/>
      <c r="CJ115" s="28"/>
      <c r="CK115" s="28"/>
      <c r="CL115" s="28"/>
      <c r="CM115" s="28"/>
      <c r="CN115" s="28"/>
      <c r="CO115" s="28"/>
      <c r="CP115" s="28"/>
      <c r="CQ115" s="28"/>
      <c r="CR115" s="28"/>
      <c r="CS115" s="127"/>
      <c r="CT115" s="127"/>
      <c r="CU115" s="127"/>
      <c r="CV115" s="127"/>
      <c r="CW115" s="127"/>
      <c r="CX115" s="127"/>
      <c r="CY115" s="127"/>
      <c r="CZ115" s="127"/>
      <c r="DA115" s="127"/>
      <c r="DB115" s="127"/>
      <c r="DC115" s="127"/>
      <c r="DD115" s="127"/>
      <c r="DE115" s="127"/>
      <c r="DF115" s="127"/>
      <c r="DG115" s="127"/>
      <c r="DH115" s="127"/>
      <c r="DI115" s="127"/>
      <c r="DJ115" s="127"/>
      <c r="DK115" s="127"/>
      <c r="DL115" s="127"/>
      <c r="DM115" s="127"/>
      <c r="DN115" s="127"/>
      <c r="DO115" s="127"/>
      <c r="DP115" s="127"/>
      <c r="DQ115" s="127"/>
      <c r="DR115" s="127"/>
      <c r="DS115" s="127"/>
      <c r="DT115" s="127"/>
      <c r="DU115" s="127"/>
      <c r="DV115" s="127"/>
      <c r="DW115" s="127"/>
      <c r="DX115" s="127"/>
      <c r="DY115" s="127"/>
      <c r="DZ115" s="127"/>
      <c r="EA115" s="127"/>
      <c r="EB115" s="127"/>
      <c r="EC115" s="127"/>
      <c r="ED115" s="127"/>
      <c r="EE115" s="127"/>
      <c r="EF115" s="127"/>
      <c r="EG115" s="127"/>
      <c r="EH115" s="127"/>
      <c r="EI115" s="127"/>
      <c r="EJ115" s="127"/>
      <c r="EK115" s="127"/>
      <c r="EL115" s="127"/>
      <c r="EM115" s="127"/>
      <c r="EN115" s="127"/>
      <c r="EO115" s="127"/>
      <c r="EP115" s="127"/>
      <c r="EQ115" s="127"/>
      <c r="ER115" s="127"/>
      <c r="ES115" s="127"/>
      <c r="ET115" s="127"/>
      <c r="EU115" s="127"/>
      <c r="EV115" s="127"/>
      <c r="EW115" s="127"/>
      <c r="EX115" s="127"/>
      <c r="EY115" s="127"/>
      <c r="EZ115" s="127"/>
      <c r="FA115" s="127"/>
      <c r="FB115" s="127"/>
      <c r="FC115" s="127"/>
      <c r="FD115" s="127"/>
      <c r="FE115" s="127"/>
      <c r="FF115" s="280" t="s">
        <v>1014</v>
      </c>
      <c r="FG115" s="280" t="s">
        <v>714</v>
      </c>
      <c r="FH115" s="343" t="s">
        <v>875</v>
      </c>
      <c r="FI115" s="496" t="str">
        <f t="shared" si="9"/>
        <v>Salvaged Engineered Wood Siding &amp; Trim / LP / SmartSide ExpertFinish/ 3/8" (9.5 mm)</v>
      </c>
      <c r="FJ115" s="323">
        <v>9.3675509999999989</v>
      </c>
      <c r="FK115" s="312" t="s">
        <v>1002</v>
      </c>
      <c r="FL115" s="299">
        <f>FJ115/(CONVERT(3/8,"in","m"))</f>
        <v>983.46992125984229</v>
      </c>
      <c r="FM115" s="298" t="s">
        <v>1005</v>
      </c>
    </row>
    <row r="116" spans="1:169" ht="15.75">
      <c r="FE116" s="28">
        <v>1</v>
      </c>
      <c r="FF116" s="280" t="s">
        <v>1014</v>
      </c>
      <c r="FG116" s="280" t="s">
        <v>730</v>
      </c>
      <c r="FH116" s="343" t="s">
        <v>887</v>
      </c>
      <c r="FI116" s="496" t="str">
        <f t="shared" si="9"/>
        <v>Salvaged Glued Laminated Timber (Glulam) / Element5  / Ontario</v>
      </c>
      <c r="FJ116" s="326">
        <v>779.31</v>
      </c>
      <c r="FK116" s="312" t="s">
        <v>1004</v>
      </c>
      <c r="FL116" s="299">
        <f t="shared" ref="FL116:FL121" si="10">FJ116</f>
        <v>779.31</v>
      </c>
      <c r="FM116" s="298" t="s">
        <v>1005</v>
      </c>
    </row>
    <row r="117" spans="1:169" ht="15.75">
      <c r="FF117" s="280" t="s">
        <v>1014</v>
      </c>
      <c r="FG117" s="280" t="s">
        <v>731</v>
      </c>
      <c r="FH117" s="343" t="s">
        <v>888</v>
      </c>
      <c r="FI117" s="496" t="str">
        <f t="shared" si="9"/>
        <v>Salvaged Glued Laminated Timber (Glulam) / Kalesnikoff Lumber Co. / BC</v>
      </c>
      <c r="FJ117" s="326">
        <v>735.90300000000013</v>
      </c>
      <c r="FK117" s="312" t="s">
        <v>1005</v>
      </c>
      <c r="FL117" s="299">
        <f t="shared" si="10"/>
        <v>735.90300000000013</v>
      </c>
      <c r="FM117" s="298" t="s">
        <v>1005</v>
      </c>
    </row>
    <row r="118" spans="1:169" ht="15.75">
      <c r="FF118" s="280" t="s">
        <v>1014</v>
      </c>
      <c r="FG118" s="280" t="s">
        <v>732</v>
      </c>
      <c r="FH118" s="343" t="s">
        <v>889</v>
      </c>
      <c r="FI118" s="496" t="str">
        <f t="shared" si="9"/>
        <v>Salvaged Glued Laminated Timber (Glulam) / Structurlam / Glulam Plus  3-1/2" Panel / BC</v>
      </c>
      <c r="FJ118" s="328">
        <v>79.808719003200011</v>
      </c>
      <c r="FK118" s="312" t="s">
        <v>1005</v>
      </c>
      <c r="FL118" s="299">
        <f t="shared" si="10"/>
        <v>79.808719003200011</v>
      </c>
      <c r="FM118" s="298" t="s">
        <v>1005</v>
      </c>
    </row>
    <row r="119" spans="1:169" ht="15.75">
      <c r="FF119" s="280" t="s">
        <v>1014</v>
      </c>
      <c r="FG119" s="280" t="s">
        <v>733</v>
      </c>
      <c r="FH119" s="343" t="s">
        <v>890</v>
      </c>
      <c r="FI119" s="496" t="str">
        <f t="shared" si="9"/>
        <v>Salvaged Glued Laminated Timber (Glulam) / Vaagen / Colville, WA</v>
      </c>
      <c r="FJ119" s="326">
        <v>913.49099999999999</v>
      </c>
      <c r="FK119" s="312" t="s">
        <v>1004</v>
      </c>
      <c r="FL119" s="299">
        <f t="shared" si="10"/>
        <v>913.49099999999999</v>
      </c>
      <c r="FM119" s="298" t="s">
        <v>1005</v>
      </c>
    </row>
    <row r="120" spans="1:169" ht="15.75">
      <c r="FF120" s="280" t="s">
        <v>1014</v>
      </c>
      <c r="FG120" s="280" t="s">
        <v>734</v>
      </c>
      <c r="FH120" s="343" t="s">
        <v>891</v>
      </c>
      <c r="FI120" s="496" t="str">
        <f t="shared" si="9"/>
        <v xml:space="preserve">Salvaged Glued Laminated Timber (Glulam) / Western Archrib / Boissevain, Manitoba </v>
      </c>
      <c r="FJ120" s="326">
        <v>706.077</v>
      </c>
      <c r="FK120" s="312" t="s">
        <v>1005</v>
      </c>
      <c r="FL120" s="299">
        <f t="shared" si="10"/>
        <v>706.077</v>
      </c>
      <c r="FM120" s="298" t="s">
        <v>1005</v>
      </c>
    </row>
    <row r="121" spans="1:169" ht="15.75">
      <c r="FF121" s="280" t="s">
        <v>1014</v>
      </c>
      <c r="FG121" s="280" t="s">
        <v>735</v>
      </c>
      <c r="FH121" s="343" t="s">
        <v>892</v>
      </c>
      <c r="FI121" s="496" t="str">
        <f t="shared" si="9"/>
        <v>Salvaged Glued Laminated Timber (Glulam) / Western Archrib / Edmonton, Alberta</v>
      </c>
      <c r="FJ121" s="326">
        <v>706.077</v>
      </c>
      <c r="FK121" s="312" t="s">
        <v>1005</v>
      </c>
      <c r="FL121" s="299">
        <f t="shared" si="10"/>
        <v>706.077</v>
      </c>
      <c r="FM121" s="298" t="s">
        <v>1005</v>
      </c>
    </row>
    <row r="122" spans="1:169" ht="15.75">
      <c r="FF122" s="280" t="s">
        <v>1014</v>
      </c>
      <c r="FG122" s="280" t="s">
        <v>740</v>
      </c>
      <c r="FH122" s="343" t="s">
        <v>897</v>
      </c>
      <c r="FI122" s="496" t="str">
        <f t="shared" si="9"/>
        <v>Salvaged Hardwood flooring / mafi / Natural Hardwood Planks / 3/4", 3 ply laminated solid, oil pre-finished [EU]</v>
      </c>
      <c r="FJ122" s="322">
        <v>18.692972436599998</v>
      </c>
      <c r="FK122" s="312" t="s">
        <v>997</v>
      </c>
      <c r="FL122" s="299">
        <f>FJ122/(CONVERT(3/4,"in","m"))</f>
        <v>981.25839562204715</v>
      </c>
      <c r="FM122" s="298" t="s">
        <v>1005</v>
      </c>
    </row>
    <row r="123" spans="1:169" ht="15.75">
      <c r="FF123" s="280" t="s">
        <v>1014</v>
      </c>
      <c r="FG123" s="280" t="s">
        <v>741</v>
      </c>
      <c r="FH123" s="343" t="s">
        <v>898</v>
      </c>
      <c r="FI123" s="496" t="str">
        <f t="shared" si="9"/>
        <v>Salvaged Hardwood flooring / Wickham / Solid Hardwood / 3/4"</v>
      </c>
      <c r="FJ123" s="326">
        <v>18.855</v>
      </c>
      <c r="FK123" s="312" t="s">
        <v>997</v>
      </c>
      <c r="FL123" s="299">
        <f>FJ123/(CONVERT(3/4,"in","m"))</f>
        <v>989.763779527559</v>
      </c>
      <c r="FM123" s="298" t="s">
        <v>1005</v>
      </c>
    </row>
    <row r="124" spans="1:169" ht="15.75">
      <c r="FF124" s="280" t="s">
        <v>1014</v>
      </c>
      <c r="FG124" s="280" t="s">
        <v>742</v>
      </c>
      <c r="FH124" s="343" t="s">
        <v>899</v>
      </c>
      <c r="FI124" s="496" t="str">
        <f t="shared" si="9"/>
        <v>Salvaged Heat Treated Wood Cladding / Abodo / Vulcan - Thermally Modified Timber, Surfaced / 20 mm [NZ]</v>
      </c>
      <c r="FJ124" s="326">
        <v>18.166499999999999</v>
      </c>
      <c r="FK124" s="312" t="s">
        <v>997</v>
      </c>
      <c r="FL124" s="299">
        <f>FJ124/(20/1000)</f>
        <v>908.32499999999993</v>
      </c>
      <c r="FM124" s="298" t="s">
        <v>1005</v>
      </c>
    </row>
    <row r="125" spans="1:169" ht="15.75">
      <c r="FF125" s="280" t="s">
        <v>1014</v>
      </c>
      <c r="FG125" s="280" t="s">
        <v>743</v>
      </c>
      <c r="FH125" s="343" t="s">
        <v>900</v>
      </c>
      <c r="FI125" s="496" t="str">
        <f t="shared" si="9"/>
        <v>Salvaged Heat Treated Wood Cladding / Lunawood / Planed Thermowood D / 20 mm [EU]</v>
      </c>
      <c r="FJ125" s="326">
        <v>11.736000000000001</v>
      </c>
      <c r="FK125" s="312" t="s">
        <v>997</v>
      </c>
      <c r="FL125" s="299">
        <f>FJ125/(20/1000)</f>
        <v>586.80000000000007</v>
      </c>
      <c r="FM125" s="298" t="s">
        <v>1005</v>
      </c>
    </row>
    <row r="126" spans="1:169" ht="15.75">
      <c r="FF126" s="280" t="s">
        <v>1014</v>
      </c>
      <c r="FG126" s="280" t="s">
        <v>744</v>
      </c>
      <c r="FH126" s="343" t="s">
        <v>901</v>
      </c>
      <c r="FI126" s="496" t="str">
        <f t="shared" si="9"/>
        <v>Salvaged Heat Treated Wood Cladding / Lunawood / Planed Thermowood S / 20 mm [EU]</v>
      </c>
      <c r="FJ126" s="326">
        <v>11.412000000000001</v>
      </c>
      <c r="FK126" s="312" t="s">
        <v>997</v>
      </c>
      <c r="FL126" s="299">
        <f>FJ126/(20/1000)</f>
        <v>570.6</v>
      </c>
      <c r="FM126" s="298" t="s">
        <v>1005</v>
      </c>
    </row>
    <row r="127" spans="1:169" ht="15.75">
      <c r="FF127" s="280" t="s">
        <v>1014</v>
      </c>
      <c r="FG127" s="280" t="s">
        <v>745</v>
      </c>
      <c r="FH127" s="343" t="s">
        <v>902</v>
      </c>
      <c r="FI127" s="496" t="str">
        <f t="shared" si="9"/>
        <v>Salvaged Heat Treated Wood Cladding / Russwood / Accoya profiled cladding / 20 mm [EU]</v>
      </c>
      <c r="FJ127" s="318">
        <v>13.932</v>
      </c>
      <c r="FK127" s="312" t="s">
        <v>997</v>
      </c>
      <c r="FL127" s="299">
        <f>FJ127/(20/1000)</f>
        <v>696.6</v>
      </c>
      <c r="FM127" s="298" t="s">
        <v>1005</v>
      </c>
    </row>
    <row r="128" spans="1:169" ht="15.75">
      <c r="FF128" s="280" t="s">
        <v>1014</v>
      </c>
      <c r="FG128" s="307" t="s">
        <v>755</v>
      </c>
      <c r="FH128" s="343" t="s">
        <v>912</v>
      </c>
      <c r="FI128" s="496" t="str">
        <f t="shared" si="9"/>
        <v>Salvaged HempWood / Fibonacci / Natural Laminate Flooring / 16 mm</v>
      </c>
      <c r="FJ128" s="323">
        <v>9.7212244499999994</v>
      </c>
      <c r="FK128" s="312" t="s">
        <v>997</v>
      </c>
      <c r="FL128" s="299">
        <f>FJ128/(16/1000)</f>
        <v>607.57652812499998</v>
      </c>
      <c r="FM128" s="298" t="s">
        <v>1005</v>
      </c>
    </row>
    <row r="129" spans="162:169" ht="17.25">
      <c r="FF129" s="280" t="s">
        <v>1014</v>
      </c>
      <c r="FG129" s="280" t="s">
        <v>756</v>
      </c>
      <c r="FH129" s="343" t="s">
        <v>913</v>
      </c>
      <c r="FI129" s="496" t="str">
        <f t="shared" si="9"/>
        <v>Salvaged Insulated OSB sheathing &amp; barrier / Huber ZIP System / R-12 / 7/16" OSB; 2" foam (polyisocyanurate)</v>
      </c>
      <c r="FJ129" s="329">
        <v>11.090999999999999</v>
      </c>
      <c r="FK129" s="312" t="s">
        <v>997</v>
      </c>
      <c r="FL129" s="299">
        <f t="shared" ref="FL129:FL134" si="11">FJ129</f>
        <v>11.090999999999999</v>
      </c>
      <c r="FM129" s="298" t="s">
        <v>1030</v>
      </c>
    </row>
    <row r="130" spans="162:169" ht="17.25">
      <c r="FF130" s="280" t="s">
        <v>1014</v>
      </c>
      <c r="FG130" s="280" t="s">
        <v>759</v>
      </c>
      <c r="FH130" s="343" t="s">
        <v>916</v>
      </c>
      <c r="FI130" s="496" t="str">
        <f t="shared" si="9"/>
        <v>Salvaged Insulated OSB sheathing &amp; barrier / Huber ZIP System / R-3 / 7/16" OSB; 1/2" foam (polyisocyanurate)</v>
      </c>
      <c r="FJ130" s="329">
        <v>11.090999999999999</v>
      </c>
      <c r="FK130" s="312" t="s">
        <v>997</v>
      </c>
      <c r="FL130" s="299">
        <f t="shared" si="11"/>
        <v>11.090999999999999</v>
      </c>
      <c r="FM130" s="298" t="s">
        <v>1030</v>
      </c>
    </row>
    <row r="131" spans="162:169" ht="17.25">
      <c r="FF131" s="280" t="s">
        <v>1014</v>
      </c>
      <c r="FG131" s="280" t="s">
        <v>758</v>
      </c>
      <c r="FH131" s="343" t="s">
        <v>915</v>
      </c>
      <c r="FI131" s="496" t="str">
        <f t="shared" si="9"/>
        <v>Salvaged Insulated OSB sheathing &amp; barrier / Huber ZIP System / R-6 / 7/16" OSB; 1" foam (polyisocyanurate)</v>
      </c>
      <c r="FJ131" s="329">
        <v>11.090999999999999</v>
      </c>
      <c r="FK131" s="312" t="s">
        <v>997</v>
      </c>
      <c r="FL131" s="299">
        <f t="shared" si="11"/>
        <v>11.090999999999999</v>
      </c>
      <c r="FM131" s="298" t="s">
        <v>1030</v>
      </c>
    </row>
    <row r="132" spans="162:169" ht="17.25">
      <c r="FF132" s="280" t="s">
        <v>1014</v>
      </c>
      <c r="FG132" s="280" t="s">
        <v>757</v>
      </c>
      <c r="FH132" s="343" t="s">
        <v>914</v>
      </c>
      <c r="FI132" s="496" t="str">
        <f t="shared" si="9"/>
        <v>Salvaged Insulated OSB sheathing &amp; barrier / Huber ZIP System / R-9 / 7/16" OSB; 1.5" foam (polyisocyanurate)</v>
      </c>
      <c r="FJ132" s="329">
        <v>11.090999999999999</v>
      </c>
      <c r="FK132" s="312" t="s">
        <v>997</v>
      </c>
      <c r="FL132" s="299">
        <f t="shared" si="11"/>
        <v>11.090999999999999</v>
      </c>
      <c r="FM132" s="298" t="s">
        <v>1030</v>
      </c>
    </row>
    <row r="133" spans="162:169" ht="15.75">
      <c r="FF133" s="280" t="s">
        <v>1014</v>
      </c>
      <c r="FG133" s="307" t="s">
        <v>774</v>
      </c>
      <c r="FH133" s="343" t="s">
        <v>931</v>
      </c>
      <c r="FI133" s="496" t="str">
        <f t="shared" si="9"/>
        <v>Salvaged Laminated Veneer Lumber (LVL) / Boise Cascade / Versa-Lam</v>
      </c>
      <c r="FJ133" s="329">
        <v>699.83100000000002</v>
      </c>
      <c r="FK133" s="312" t="s">
        <v>1004</v>
      </c>
      <c r="FL133" s="299">
        <f t="shared" si="11"/>
        <v>699.83100000000002</v>
      </c>
      <c r="FM133" s="298" t="s">
        <v>1005</v>
      </c>
    </row>
    <row r="134" spans="162:169" ht="15.75">
      <c r="FF134" s="280" t="s">
        <v>1014</v>
      </c>
      <c r="FG134" s="280" t="s">
        <v>762</v>
      </c>
      <c r="FH134" s="343" t="s">
        <v>919</v>
      </c>
      <c r="FI134" s="496" t="str">
        <f t="shared" si="9"/>
        <v xml:space="preserve">Salvaged Laminated veneer lumber (LVL) / RedBuilt / RedLam LVL </v>
      </c>
      <c r="FJ134" s="324">
        <v>949.95931500000006</v>
      </c>
      <c r="FK134" s="312" t="s">
        <v>1004</v>
      </c>
      <c r="FL134" s="299">
        <f t="shared" si="11"/>
        <v>949.95931500000006</v>
      </c>
      <c r="FM134" s="298" t="s">
        <v>1005</v>
      </c>
    </row>
    <row r="135" spans="162:169" ht="15.75">
      <c r="FF135" s="280" t="s">
        <v>1014</v>
      </c>
      <c r="FG135" s="280" t="s">
        <v>775</v>
      </c>
      <c r="FH135" s="343" t="s">
        <v>932</v>
      </c>
      <c r="FI135" s="496" t="str">
        <f t="shared" ref="FI135:FI169" si="12">_xlfn.CONCAT("Salvaged ",FH135)</f>
        <v>Salvaged Mass ply panels (MPP) / Freres Lumber</v>
      </c>
      <c r="FJ135" s="330">
        <v>881.88118199999985</v>
      </c>
      <c r="FK135" s="312" t="s">
        <v>1004</v>
      </c>
      <c r="FL135" s="299">
        <f>FJ135</f>
        <v>881.88118199999985</v>
      </c>
      <c r="FM135" s="298" t="s">
        <v>1005</v>
      </c>
    </row>
    <row r="136" spans="162:169" ht="17.25">
      <c r="FF136" s="280" t="s">
        <v>1014</v>
      </c>
      <c r="FG136" s="280" t="s">
        <v>778</v>
      </c>
      <c r="FH136" s="343" t="s">
        <v>935</v>
      </c>
      <c r="FI136" s="496" t="str">
        <f t="shared" si="12"/>
        <v>Salvaged OSB sheathing &amp; barrier / Huber ZIP System / Roof and Wall Sheathing / 1/2"</v>
      </c>
      <c r="FJ136" s="329">
        <v>12.804657525</v>
      </c>
      <c r="FK136" s="312" t="s">
        <v>997</v>
      </c>
      <c r="FL136" s="299">
        <f>FJ136</f>
        <v>12.804657525</v>
      </c>
      <c r="FM136" s="298" t="s">
        <v>1030</v>
      </c>
    </row>
    <row r="137" spans="162:169" ht="17.25">
      <c r="FF137" s="280" t="s">
        <v>1014</v>
      </c>
      <c r="FG137" s="280" t="s">
        <v>777</v>
      </c>
      <c r="FH137" s="343" t="s">
        <v>934</v>
      </c>
      <c r="FI137" s="496" t="str">
        <f t="shared" si="12"/>
        <v>Salvaged OSB sheathing &amp; barrier / Huber ZIP System / Roof and Wall Sheathing / 5/8"</v>
      </c>
      <c r="FJ137" s="329">
        <v>16.031027925</v>
      </c>
      <c r="FK137" s="312" t="s">
        <v>997</v>
      </c>
      <c r="FL137" s="299">
        <f>FJ137</f>
        <v>16.031027925</v>
      </c>
      <c r="FM137" s="298" t="s">
        <v>1030</v>
      </c>
    </row>
    <row r="138" spans="162:169" ht="17.25">
      <c r="FF138" s="280" t="s">
        <v>1014</v>
      </c>
      <c r="FG138" s="280" t="s">
        <v>779</v>
      </c>
      <c r="FH138" s="343" t="s">
        <v>936</v>
      </c>
      <c r="FI138" s="496" t="str">
        <f t="shared" si="12"/>
        <v>Salvaged OSB sheathing &amp; barrier / Huber ZIP System / Roof and Wall Sheathing / 7/16"</v>
      </c>
      <c r="FJ138" s="329">
        <v>11.090648250000001</v>
      </c>
      <c r="FK138" s="312" t="s">
        <v>997</v>
      </c>
      <c r="FL138" s="299">
        <f>FJ138</f>
        <v>11.090648250000001</v>
      </c>
      <c r="FM138" s="298" t="s">
        <v>1030</v>
      </c>
    </row>
    <row r="139" spans="162:169" ht="15.75">
      <c r="FF139" s="280" t="s">
        <v>1014</v>
      </c>
      <c r="FG139" s="307" t="s">
        <v>780</v>
      </c>
      <c r="FH139" s="343" t="s">
        <v>937</v>
      </c>
      <c r="FI139" s="496" t="str">
        <f t="shared" si="12"/>
        <v>Salvaged OSB sheathing / 1/2" / Huber  / AdvanTech / 1/2" Sheathing</v>
      </c>
      <c r="FJ139" s="329">
        <v>12.842848462500001</v>
      </c>
      <c r="FK139" s="312" t="s">
        <v>997</v>
      </c>
      <c r="FL139" s="299">
        <f>FJ139/(CONVERT(1/2,"in","m"))</f>
        <v>1011.247910433071</v>
      </c>
      <c r="FM139" s="298" t="s">
        <v>1005</v>
      </c>
    </row>
    <row r="140" spans="162:169" ht="15.75">
      <c r="FF140" s="280" t="s">
        <v>1014</v>
      </c>
      <c r="FG140" s="307" t="s">
        <v>781</v>
      </c>
      <c r="FH140" s="343" t="s">
        <v>938</v>
      </c>
      <c r="FI140" s="496" t="str">
        <f t="shared" si="12"/>
        <v>Salvaged OSB sheathing / 1/2" / LP / WeatherLogic® Air &amp; Water Barrier / 1/2"</v>
      </c>
      <c r="FJ140" s="329">
        <v>15.9886269</v>
      </c>
      <c r="FK140" s="312" t="s">
        <v>997</v>
      </c>
      <c r="FL140" s="299">
        <f>FJ140/(CONVERT(1/2,"in","m"))</f>
        <v>1258.9470000000001</v>
      </c>
      <c r="FM140" s="298" t="s">
        <v>1005</v>
      </c>
    </row>
    <row r="141" spans="162:169" ht="15.75">
      <c r="FF141" s="280" t="s">
        <v>1014</v>
      </c>
      <c r="FG141" s="307" t="s">
        <v>784</v>
      </c>
      <c r="FH141" s="343" t="s">
        <v>941</v>
      </c>
      <c r="FI141" s="496" t="str">
        <f t="shared" si="12"/>
        <v>Salvaged OSB sheathing / 7/16" / LP / FlameBlock® Fire-Rated / 7/16", coated 1 side</v>
      </c>
      <c r="FJ141" s="329">
        <v>12.024302850000002</v>
      </c>
      <c r="FK141" s="312" t="s">
        <v>997</v>
      </c>
      <c r="FL141" s="299">
        <f>FJ141/(CONVERT(7/16,"in","m"))</f>
        <v>1082.0520000000001</v>
      </c>
      <c r="FM141" s="298" t="s">
        <v>1005</v>
      </c>
    </row>
    <row r="142" spans="162:169" ht="15.75">
      <c r="FF142" s="280" t="s">
        <v>1014</v>
      </c>
      <c r="FG142" s="307" t="s">
        <v>783</v>
      </c>
      <c r="FH142" s="343" t="s">
        <v>940</v>
      </c>
      <c r="FI142" s="496" t="str">
        <f t="shared" si="12"/>
        <v>Salvaged OSB sheathing / 7/16" / LP / TopNotch® 350 / 7/16"</v>
      </c>
      <c r="FJ142" s="329">
        <v>12.0766093875</v>
      </c>
      <c r="FK142" s="312" t="s">
        <v>997</v>
      </c>
      <c r="FL142" s="299">
        <f>FJ142/(CONVERT(7/16,"in","m"))</f>
        <v>1086.7589999999998</v>
      </c>
      <c r="FM142" s="298" t="s">
        <v>1005</v>
      </c>
    </row>
    <row r="143" spans="162:169" ht="15.75">
      <c r="FF143" s="280" t="s">
        <v>1014</v>
      </c>
      <c r="FG143" s="307" t="s">
        <v>782</v>
      </c>
      <c r="FH143" s="343" t="s">
        <v>939</v>
      </c>
      <c r="FI143" s="496" t="str">
        <f t="shared" si="12"/>
        <v>Salvaged OSB sheathing / 7/16" / LP / WeatherLogic® Air &amp; Water Barrier / 7/16"</v>
      </c>
      <c r="FJ143" s="329">
        <v>14.005785374999999</v>
      </c>
      <c r="FK143" s="312" t="s">
        <v>997</v>
      </c>
      <c r="FL143" s="299">
        <f>FJ143/(CONVERT(7/16,"in","m"))</f>
        <v>1260.3631383577051</v>
      </c>
      <c r="FM143" s="298" t="s">
        <v>1005</v>
      </c>
    </row>
    <row r="144" spans="162:169" ht="15.75">
      <c r="FF144" s="280" t="s">
        <v>1014</v>
      </c>
      <c r="FG144" s="307" t="s">
        <v>785</v>
      </c>
      <c r="FH144" s="343" t="s">
        <v>942</v>
      </c>
      <c r="FI144" s="496" t="str">
        <f t="shared" si="12"/>
        <v>Salvaged OSB subflooring / Huber  / AdvanTech / 19/32" Subflooring</v>
      </c>
      <c r="FJ144" s="329">
        <v>15.4596915</v>
      </c>
      <c r="FK144" s="312" t="s">
        <v>997</v>
      </c>
      <c r="FL144" s="299">
        <f>FJ144/(CONVERT(9/32,"in","m"))</f>
        <v>2164.0862992125985</v>
      </c>
      <c r="FM144" s="298" t="s">
        <v>1005</v>
      </c>
    </row>
    <row r="145" spans="162:169" ht="15.75">
      <c r="FF145" s="280" t="s">
        <v>1014</v>
      </c>
      <c r="FG145" s="307" t="s">
        <v>786</v>
      </c>
      <c r="FH145" s="343" t="s">
        <v>943</v>
      </c>
      <c r="FI145" s="496" t="str">
        <f t="shared" si="12"/>
        <v>Salvaged OSB subflooring / LP / LP Legacy® Premium / 5/8"</v>
      </c>
      <c r="FJ145" s="329">
        <v>18.604325250000002</v>
      </c>
      <c r="FK145" s="312" t="s">
        <v>997</v>
      </c>
      <c r="FL145" s="299">
        <f>FJ145/(CONVERT(5/8,"in","m"))</f>
        <v>1171.9260000000002</v>
      </c>
      <c r="FM145" s="298" t="s">
        <v>1005</v>
      </c>
    </row>
    <row r="146" spans="162:169" ht="15.75">
      <c r="FF146" s="280" t="s">
        <v>1014</v>
      </c>
      <c r="FG146" s="307" t="s">
        <v>791</v>
      </c>
      <c r="FH146" s="343" t="s">
        <v>948</v>
      </c>
      <c r="FI146" s="496" t="str">
        <f t="shared" si="12"/>
        <v>Salvaged Plywood / 1/2" / British Columbia Average</v>
      </c>
      <c r="FJ146" s="323">
        <v>7.7837156999999992</v>
      </c>
      <c r="FK146" s="312" t="s">
        <v>997</v>
      </c>
      <c r="FL146" s="299">
        <f>FJ146/(CONVERT(1/2,"in","m"))</f>
        <v>612.89099999999996</v>
      </c>
      <c r="FM146" s="298" t="s">
        <v>1005</v>
      </c>
    </row>
    <row r="147" spans="162:169" ht="15.75">
      <c r="FF147" s="280" t="s">
        <v>1014</v>
      </c>
      <c r="FG147" s="307" t="s">
        <v>789</v>
      </c>
      <c r="FH147" s="343" t="s">
        <v>946</v>
      </c>
      <c r="FI147" s="496" t="str">
        <f t="shared" si="12"/>
        <v xml:space="preserve">Salvaged Plywood / 1/2" / Roseburg softwood plywood / </v>
      </c>
      <c r="FJ147" s="323">
        <v>9.1120196254499994</v>
      </c>
      <c r="FK147" s="312" t="s">
        <v>997</v>
      </c>
      <c r="FL147" s="299">
        <f>FJ147/(CONVERT(1/2,"in","m"))</f>
        <v>717.48186027165355</v>
      </c>
      <c r="FM147" s="298" t="s">
        <v>1005</v>
      </c>
    </row>
    <row r="148" spans="162:169" ht="15.75">
      <c r="FF148" s="280" t="s">
        <v>1014</v>
      </c>
      <c r="FG148" s="307" t="s">
        <v>788</v>
      </c>
      <c r="FH148" s="343" t="s">
        <v>945</v>
      </c>
      <c r="FI148" s="496" t="str">
        <f t="shared" si="12"/>
        <v xml:space="preserve">Salvaged Plywood / 3/4" / Roseburg / SkyPly / hardwood plywood, incl. walnut, alder, cherry, mahogany, oak, birch, maple faces </v>
      </c>
      <c r="FJ148" s="324">
        <v>13.54012002</v>
      </c>
      <c r="FK148" s="312" t="s">
        <v>997</v>
      </c>
      <c r="FL148" s="299">
        <f>FJ148/(CONVERT(3/4,"in","m"))</f>
        <v>710.76745511811021</v>
      </c>
      <c r="FM148" s="298" t="s">
        <v>1005</v>
      </c>
    </row>
    <row r="149" spans="162:169" ht="15.75">
      <c r="FF149" s="280" t="s">
        <v>1014</v>
      </c>
      <c r="FG149" s="307" t="s">
        <v>787</v>
      </c>
      <c r="FH149" s="343" t="s">
        <v>944</v>
      </c>
      <c r="FI149" s="496" t="str">
        <f t="shared" si="12"/>
        <v>Salvaged Plywood / 3/4" / Roseburg softwood plywood</v>
      </c>
      <c r="FJ149" s="323">
        <v>13.671447300000001</v>
      </c>
      <c r="FK149" s="312" t="s">
        <v>997</v>
      </c>
      <c r="FL149" s="299">
        <f>FJ149/(CONVERT(3/4,"in","m"))</f>
        <v>717.66127559055121</v>
      </c>
      <c r="FM149" s="298" t="s">
        <v>1005</v>
      </c>
    </row>
    <row r="150" spans="162:169" ht="17.25">
      <c r="FF150" s="280" t="s">
        <v>1014</v>
      </c>
      <c r="FG150" s="280" t="s">
        <v>724</v>
      </c>
      <c r="FH150" s="343" t="s">
        <v>885</v>
      </c>
      <c r="FI150" s="496" t="str">
        <f t="shared" si="12"/>
        <v>Salvaged TREATED WOOD FOUNDATION - 2x8 framing @ 16" OC, 3/4" plywood sheathing</v>
      </c>
      <c r="FJ150" s="327">
        <v>49.714605929999969</v>
      </c>
      <c r="FK150" s="312" t="s">
        <v>997</v>
      </c>
      <c r="FL150" s="299">
        <f t="shared" ref="FL150:FL155" si="13">FJ150</f>
        <v>49.714605929999969</v>
      </c>
      <c r="FM150" s="298" t="s">
        <v>1030</v>
      </c>
    </row>
    <row r="151" spans="162:169" ht="15.75">
      <c r="FF151" s="280" t="s">
        <v>1014</v>
      </c>
      <c r="FG151" s="280" t="s">
        <v>798</v>
      </c>
      <c r="FH151" s="343" t="s">
        <v>955</v>
      </c>
      <c r="FI151" s="496" t="str">
        <f t="shared" si="12"/>
        <v>Salvaged Veneer Laminated Timber (VLT) / Boise Cascade /  VersaWorks</v>
      </c>
      <c r="FJ151" s="329">
        <v>699.83100000000002</v>
      </c>
      <c r="FK151" s="312" t="s">
        <v>1004</v>
      </c>
      <c r="FL151" s="299">
        <f t="shared" si="13"/>
        <v>699.83100000000002</v>
      </c>
      <c r="FM151" s="298" t="s">
        <v>1005</v>
      </c>
    </row>
    <row r="152" spans="162:169" ht="15.75">
      <c r="FF152" s="280" t="s">
        <v>1014</v>
      </c>
      <c r="FG152" s="280" t="s">
        <v>799</v>
      </c>
      <c r="FH152" s="343" t="s">
        <v>956</v>
      </c>
      <c r="FI152" s="496" t="str">
        <f t="shared" si="12"/>
        <v>Salvaged Window - double-glazed / Wood frame / BfCA Study [US &amp; CA]</v>
      </c>
      <c r="FJ152" s="322">
        <v>16.428600000000003</v>
      </c>
      <c r="FK152" s="312" t="s">
        <v>1010</v>
      </c>
      <c r="FL152" s="299">
        <f t="shared" si="13"/>
        <v>16.428600000000003</v>
      </c>
      <c r="FM152" s="298" t="s">
        <v>1032</v>
      </c>
    </row>
    <row r="153" spans="162:169" ht="15.75">
      <c r="FF153" s="280" t="s">
        <v>1014</v>
      </c>
      <c r="FG153" s="280" t="s">
        <v>800</v>
      </c>
      <c r="FH153" s="343" t="s">
        <v>957</v>
      </c>
      <c r="FI153" s="496" t="str">
        <f t="shared" si="12"/>
        <v>Salvaged Window - double-glazed / Wood frame, aluminum cladding / BfCA Study [US &amp; CA]</v>
      </c>
      <c r="FJ153" s="322">
        <v>8.1404999999999994</v>
      </c>
      <c r="FK153" s="312" t="s">
        <v>1010</v>
      </c>
      <c r="FL153" s="299">
        <f t="shared" si="13"/>
        <v>8.1404999999999994</v>
      </c>
      <c r="FM153" s="298" t="s">
        <v>1032</v>
      </c>
    </row>
    <row r="154" spans="162:169" ht="15.75">
      <c r="FF154" s="280" t="s">
        <v>1014</v>
      </c>
      <c r="FG154" s="280" t="s">
        <v>801</v>
      </c>
      <c r="FH154" s="343" t="s">
        <v>958</v>
      </c>
      <c r="FI154" s="496" t="str">
        <f t="shared" si="12"/>
        <v>Salvaged Window - triple pane / Wood frame / BfCA Study [US &amp; CA]</v>
      </c>
      <c r="FJ154" s="322">
        <v>16.428600000000003</v>
      </c>
      <c r="FK154" s="312" t="s">
        <v>1010</v>
      </c>
      <c r="FL154" s="299">
        <f t="shared" si="13"/>
        <v>16.428600000000003</v>
      </c>
      <c r="FM154" s="298" t="s">
        <v>1032</v>
      </c>
    </row>
    <row r="155" spans="162:169" ht="15.75">
      <c r="FF155" s="280" t="s">
        <v>1014</v>
      </c>
      <c r="FG155" s="280" t="s">
        <v>802</v>
      </c>
      <c r="FH155" s="343" t="s">
        <v>959</v>
      </c>
      <c r="FI155" s="496" t="str">
        <f t="shared" si="12"/>
        <v>Salvaged Window - triple pane / Wood frame, aluminum cladding / BfCA Study [US &amp; CA]</v>
      </c>
      <c r="FJ155" s="322">
        <v>8.1404999999999994</v>
      </c>
      <c r="FK155" s="312" t="s">
        <v>1010</v>
      </c>
      <c r="FL155" s="299">
        <f t="shared" si="13"/>
        <v>8.1404999999999994</v>
      </c>
      <c r="FM155" s="298" t="s">
        <v>1032</v>
      </c>
    </row>
    <row r="156" spans="162:169" ht="15.75">
      <c r="FF156" s="280" t="s">
        <v>1014</v>
      </c>
      <c r="FG156" s="307" t="s">
        <v>805</v>
      </c>
      <c r="FH156" s="343" t="s">
        <v>962</v>
      </c>
      <c r="FI156" s="496" t="str">
        <f t="shared" si="12"/>
        <v>Salvaged Wood / SPF / 2x4 Lumber / Surfaced Dry Softwood Lumber Produced in British Columbia</v>
      </c>
      <c r="FJ156" s="323">
        <v>62.863857000000003</v>
      </c>
      <c r="FK156" s="312" t="s">
        <v>1033</v>
      </c>
      <c r="FL156" s="299">
        <f>FJ156/(CONVERT(3.5,"in","m"))</f>
        <v>707.13</v>
      </c>
      <c r="FM156" s="298" t="s">
        <v>1005</v>
      </c>
    </row>
    <row r="157" spans="162:169" ht="15.75">
      <c r="FF157" s="280" t="s">
        <v>1014</v>
      </c>
      <c r="FG157" s="307" t="s">
        <v>804</v>
      </c>
      <c r="FH157" s="343" t="s">
        <v>961</v>
      </c>
      <c r="FI157" s="496" t="str">
        <f t="shared" si="12"/>
        <v>Salvaged Wood / SPF / 2x6 Lumber / Surfaced Dry Softwood Lumber Produced in British Columbia</v>
      </c>
      <c r="FJ157" s="323">
        <v>98.786060999999989</v>
      </c>
      <c r="FK157" s="312" t="s">
        <v>1035</v>
      </c>
      <c r="FL157" s="299">
        <f>FJ157/(CONVERT(5.5,"in","m"))</f>
        <v>707.13</v>
      </c>
      <c r="FM157" s="298" t="s">
        <v>1005</v>
      </c>
    </row>
    <row r="158" spans="162:169" ht="15.75">
      <c r="FF158" s="280" t="s">
        <v>1014</v>
      </c>
      <c r="FG158" s="307" t="s">
        <v>803</v>
      </c>
      <c r="FH158" s="343" t="s">
        <v>960</v>
      </c>
      <c r="FI158" s="496" t="str">
        <f t="shared" si="12"/>
        <v>Salvaged Wood / SPF / 2x8 Lumber / Surfaced Dry Softwood Lumber Produced in British Columbia</v>
      </c>
      <c r="FJ158" s="329">
        <v>130.21798950000002</v>
      </c>
      <c r="FK158" s="312" t="s">
        <v>1034</v>
      </c>
      <c r="FL158" s="299">
        <f>FJ158/(CONVERT(7.25,"in","m"))</f>
        <v>707.13000000000011</v>
      </c>
      <c r="FM158" s="298" t="s">
        <v>1005</v>
      </c>
    </row>
    <row r="159" spans="162:169" ht="15.75">
      <c r="FF159" s="280" t="s">
        <v>1014</v>
      </c>
      <c r="FG159" s="280" t="s">
        <v>808</v>
      </c>
      <c r="FH159" s="343" t="s">
        <v>965</v>
      </c>
      <c r="FI159" s="496" t="str">
        <f t="shared" si="12"/>
        <v>Salvaged Wood cladding / BurntWood / ReUse with linseed oil treatment / 18 mm [EU]</v>
      </c>
      <c r="FJ159" s="326">
        <v>29.97</v>
      </c>
      <c r="FK159" s="312" t="s">
        <v>997</v>
      </c>
      <c r="FL159" s="299">
        <f>FJ159/(18/1000)</f>
        <v>1665</v>
      </c>
      <c r="FM159" s="298" t="s">
        <v>1005</v>
      </c>
    </row>
    <row r="160" spans="162:169" ht="15.75">
      <c r="FF160" s="280" t="s">
        <v>1014</v>
      </c>
      <c r="FG160" s="280" t="s">
        <v>809</v>
      </c>
      <c r="FH160" s="343" t="s">
        <v>966</v>
      </c>
      <c r="FI160" s="496" t="str">
        <f t="shared" si="12"/>
        <v>Salvaged Wood cladding / BurntWood / ReUse without surface treatment / 18 mm [EU]</v>
      </c>
      <c r="FJ160" s="326">
        <v>29.97</v>
      </c>
      <c r="FK160" s="312" t="s">
        <v>997</v>
      </c>
      <c r="FL160" s="299">
        <f>FJ160/(18/1000)</f>
        <v>1665</v>
      </c>
      <c r="FM160" s="298" t="s">
        <v>1005</v>
      </c>
    </row>
    <row r="161" spans="162:169" ht="15.75">
      <c r="FF161" s="280" t="s">
        <v>1014</v>
      </c>
      <c r="FG161" s="280" t="s">
        <v>826</v>
      </c>
      <c r="FH161" s="343" t="s">
        <v>983</v>
      </c>
      <c r="FI161" s="496" t="str">
        <f t="shared" si="12"/>
        <v>Salvaged Wood I joist / RedBuilt / Red-I Joists / Red I-45 / 11.875" depth, 1.75 x 1.5" LVL flanges</v>
      </c>
      <c r="FJ161" s="323">
        <v>4.9293971999999995</v>
      </c>
      <c r="FK161" s="312" t="s">
        <v>1011</v>
      </c>
      <c r="FL161" s="299">
        <f t="shared" ref="FL161:FL169" si="14">FJ161</f>
        <v>4.9293971999999995</v>
      </c>
      <c r="FM161" s="298" t="s">
        <v>613</v>
      </c>
    </row>
    <row r="162" spans="162:169" ht="15.75">
      <c r="FF162" s="280" t="s">
        <v>1014</v>
      </c>
      <c r="FG162" s="280" t="s">
        <v>825</v>
      </c>
      <c r="FH162" s="343" t="s">
        <v>982</v>
      </c>
      <c r="FI162" s="496" t="str">
        <f t="shared" si="12"/>
        <v>Salvaged Wood I joist / RedBuilt / Red-I Joists / Red I-45 / 14" depth, 1.75 x 1.5" LVL flanges</v>
      </c>
      <c r="FJ162" s="323">
        <v>5.5906577999999998</v>
      </c>
      <c r="FK162" s="312" t="s">
        <v>1011</v>
      </c>
      <c r="FL162" s="299">
        <f t="shared" si="14"/>
        <v>5.5906577999999998</v>
      </c>
      <c r="FM162" s="298" t="s">
        <v>613</v>
      </c>
    </row>
    <row r="163" spans="162:169" ht="15.75">
      <c r="FF163" s="280" t="s">
        <v>1014</v>
      </c>
      <c r="FG163" s="280" t="s">
        <v>824</v>
      </c>
      <c r="FH163" s="343" t="s">
        <v>981</v>
      </c>
      <c r="FI163" s="496" t="str">
        <f t="shared" si="12"/>
        <v>Salvaged Wood I joist / RedBuilt / Red-I Joists / Red I-45 / 16" depth, 1.75 x 1.5" LVL flanges</v>
      </c>
      <c r="FJ163" s="323">
        <v>6.702777900000001</v>
      </c>
      <c r="FK163" s="312" t="s">
        <v>1011</v>
      </c>
      <c r="FL163" s="299">
        <f t="shared" si="14"/>
        <v>6.702777900000001</v>
      </c>
      <c r="FM163" s="298" t="s">
        <v>613</v>
      </c>
    </row>
    <row r="164" spans="162:169" ht="15.75">
      <c r="FF164" s="280" t="s">
        <v>1014</v>
      </c>
      <c r="FG164" s="280" t="s">
        <v>823</v>
      </c>
      <c r="FH164" s="343" t="s">
        <v>980</v>
      </c>
      <c r="FI164" s="496" t="str">
        <f t="shared" si="12"/>
        <v>Salvaged Wood I joist / RedBuilt / Red-I Joists / Red I-65 / 11.875" depth, 2.5 x 1.5" LVL flanges</v>
      </c>
      <c r="FJ164" s="323">
        <v>8.0403277499999994</v>
      </c>
      <c r="FK164" s="312" t="s">
        <v>1011</v>
      </c>
      <c r="FL164" s="299">
        <f t="shared" si="14"/>
        <v>8.0403277499999994</v>
      </c>
      <c r="FM164" s="298" t="s">
        <v>613</v>
      </c>
    </row>
    <row r="165" spans="162:169" ht="15.75">
      <c r="FF165" s="280" t="s">
        <v>1014</v>
      </c>
      <c r="FG165" s="280" t="s">
        <v>822</v>
      </c>
      <c r="FH165" s="343" t="s">
        <v>979</v>
      </c>
      <c r="FI165" s="496" t="str">
        <f t="shared" si="12"/>
        <v>Salvaged Wood I joist / RedBuilt / Red-I Joists / Red I-65 / 14" depth, 2.5 x 1.5" LVL flanges</v>
      </c>
      <c r="FJ165" s="323">
        <v>8.731645649999999</v>
      </c>
      <c r="FK165" s="312" t="s">
        <v>1011</v>
      </c>
      <c r="FL165" s="299">
        <f t="shared" si="14"/>
        <v>8.731645649999999</v>
      </c>
      <c r="FM165" s="298" t="s">
        <v>613</v>
      </c>
    </row>
    <row r="166" spans="162:169" ht="15.75">
      <c r="FF166" s="280" t="s">
        <v>1014</v>
      </c>
      <c r="FG166" s="280" t="s">
        <v>821</v>
      </c>
      <c r="FH166" s="343" t="s">
        <v>978</v>
      </c>
      <c r="FI166" s="496" t="str">
        <f t="shared" si="12"/>
        <v>Salvaged Wood I joist / RedBuilt / Red-I Joists / Red I-65 / 16" depth, 2.5 x 1.5" LVL flanges</v>
      </c>
      <c r="FJ166" s="323">
        <v>9.407934899999999</v>
      </c>
      <c r="FK166" s="312" t="s">
        <v>1011</v>
      </c>
      <c r="FL166" s="299">
        <f t="shared" si="14"/>
        <v>9.407934899999999</v>
      </c>
      <c r="FM166" s="298" t="s">
        <v>613</v>
      </c>
    </row>
    <row r="167" spans="162:169" ht="15.75">
      <c r="FF167" s="280" t="s">
        <v>1014</v>
      </c>
      <c r="FG167" s="280" t="s">
        <v>830</v>
      </c>
      <c r="FH167" s="343" t="s">
        <v>987</v>
      </c>
      <c r="FI167" s="496" t="str">
        <f t="shared" si="12"/>
        <v>Salvaged Wood/steel hybrid floor truss / RedBuilt / Red-L Open-Web / 14" deep, 1.5 x 3.5" chords</v>
      </c>
      <c r="FJ167" s="323">
        <v>5.9189759999999998</v>
      </c>
      <c r="FK167" s="312" t="s">
        <v>1015</v>
      </c>
      <c r="FL167" s="299">
        <f t="shared" si="14"/>
        <v>5.9189759999999998</v>
      </c>
      <c r="FM167" s="298" t="s">
        <v>613</v>
      </c>
    </row>
    <row r="168" spans="162:169" ht="15.75">
      <c r="FF168" s="280" t="s">
        <v>1014</v>
      </c>
      <c r="FG168" s="280" t="s">
        <v>828</v>
      </c>
      <c r="FH168" s="343" t="s">
        <v>985</v>
      </c>
      <c r="FI168" s="496" t="str">
        <f t="shared" si="12"/>
        <v>Salvaged Wood/steel hybrid floor truss / RedBuilt / Red-S Open-Web / 16" deep, double 1.5 x 2.3" LVL chords</v>
      </c>
      <c r="FJ168" s="323">
        <v>8.0337217499999998</v>
      </c>
      <c r="FK168" s="312" t="s">
        <v>1015</v>
      </c>
      <c r="FL168" s="299">
        <f t="shared" si="14"/>
        <v>8.0337217499999998</v>
      </c>
      <c r="FM168" s="298" t="s">
        <v>613</v>
      </c>
    </row>
    <row r="169" spans="162:169" ht="15.75">
      <c r="FF169" s="280" t="s">
        <v>1014</v>
      </c>
      <c r="FG169" s="280" t="s">
        <v>829</v>
      </c>
      <c r="FH169" s="343" t="s">
        <v>986</v>
      </c>
      <c r="FI169" s="496" t="str">
        <f t="shared" si="12"/>
        <v>Salvaged Wood/steel hybrid floor truss / RedBuilt / Red-W Open-Web / 14" deep, 1.5 x 4.25" chords</v>
      </c>
      <c r="FJ169" s="323">
        <v>7.0816319999999999</v>
      </c>
      <c r="FK169" s="312" t="s">
        <v>1015</v>
      </c>
      <c r="FL169" s="299">
        <f t="shared" si="14"/>
        <v>7.0816319999999999</v>
      </c>
      <c r="FM169" s="298" t="s">
        <v>613</v>
      </c>
    </row>
    <row r="211" spans="162:165">
      <c r="FI211" s="28"/>
    </row>
    <row r="212" spans="162:165">
      <c r="FI212" s="28"/>
    </row>
    <row r="213" spans="162:165">
      <c r="FI213" s="28"/>
    </row>
    <row r="214" spans="162:165" ht="15.75">
      <c r="FF214" s="280"/>
      <c r="FG214" s="280"/>
      <c r="FH214" s="312"/>
      <c r="FI214" s="28"/>
    </row>
    <row r="215" spans="162:165">
      <c r="FI215" s="28"/>
    </row>
    <row r="216" spans="162:165">
      <c r="FI216" s="28"/>
    </row>
    <row r="217" spans="162:165">
      <c r="FI217" s="28"/>
    </row>
    <row r="218" spans="162:165">
      <c r="FI218" s="28"/>
    </row>
    <row r="219" spans="162:165">
      <c r="FI219" s="28"/>
    </row>
    <row r="220" spans="162:165">
      <c r="FI220" s="28"/>
    </row>
    <row r="221" spans="162:165">
      <c r="FI221" s="28"/>
    </row>
    <row r="238" spans="162:165">
      <c r="FI238" s="28"/>
    </row>
    <row r="239" spans="162:165" ht="15.75">
      <c r="FF239" s="280"/>
      <c r="FG239" s="280"/>
      <c r="FH239" s="311"/>
      <c r="FI239" s="28"/>
    </row>
    <row r="240" spans="162:165" ht="15.75">
      <c r="FF240" s="280"/>
      <c r="FG240" s="280"/>
      <c r="FH240" s="311"/>
      <c r="FI240" s="28"/>
    </row>
    <row r="241" spans="162:165" ht="15.75">
      <c r="FF241" s="280"/>
      <c r="FG241" s="280"/>
      <c r="FH241" s="311"/>
      <c r="FI241" s="28"/>
    </row>
    <row r="242" spans="162:165">
      <c r="FI242" s="28"/>
    </row>
    <row r="243" spans="162:165">
      <c r="FI243" s="28"/>
    </row>
    <row r="244" spans="162:165">
      <c r="FI244" s="28"/>
    </row>
    <row r="245" spans="162:165">
      <c r="FI245" s="28"/>
    </row>
    <row r="246" spans="162:165">
      <c r="FI246" s="28"/>
    </row>
    <row r="247" spans="162:165">
      <c r="FI247" s="28"/>
    </row>
    <row r="1048576" spans="117:117">
      <c r="DM1048576" s="270" t="str">
        <f>DK1048576&amp;DL1048576</f>
        <v/>
      </c>
    </row>
  </sheetData>
  <sheetProtection algorithmName="SHA-512" hashValue="wSbgukfJc3v6qvzo5AFuZSixEH5QaZU2BUXYRcrrN4PSB0Bh70M9qHHN7dkGheooJoroQwN+qKM72T3Of57r5w==" saltValue="w/vRgtfRV0Kk8v3UQHyxeA==" spinCount="100000" sheet="1" objects="1" scenarios="1"/>
  <mergeCells count="2">
    <mergeCell ref="DP14:EB14"/>
    <mergeCell ref="ES42:EY58"/>
  </mergeCells>
  <phoneticPr fontId="68" type="noConversion"/>
  <conditionalFormatting sqref="B50">
    <cfRule type="expression" priority="148">
      <formula>"Not(or($D$49='Dropdown Options'!$T$5,$D$49='Dropdown Options'!$T$8,$D$49='Dropdown Options'!$T$11,"</formula>
    </cfRule>
  </conditionalFormatting>
  <conditionalFormatting sqref="C43:D43 C67:D67">
    <cfRule type="expression" priority="139">
      <formula>"not(or('3. wbLCA Info'!$D$13+Backend!$BE$9,and('3. wbLCA Info'!$D$13=Backend!$BE$10"</formula>
    </cfRule>
  </conditionalFormatting>
  <conditionalFormatting sqref="C9:G9">
    <cfRule type="expression" priority="131">
      <formula>"not(and('3. wbLCA Info'!$D$84=Backend!$BK$2"</formula>
    </cfRule>
  </conditionalFormatting>
  <conditionalFormatting sqref="C40:G40">
    <cfRule type="expression" priority="137">
      <formula>"not(and('3. wbLCA Info'!$F$34=Backend!$BG$2,or('3. wbLCA Info'!$F$36=Backend!$BI$3,'3. wbLCA Info'!$F$36=Backend!$BI$4))"</formula>
    </cfRule>
  </conditionalFormatting>
  <conditionalFormatting sqref="D15:G15">
    <cfRule type="expression" priority="136">
      <formula>"not(or($D$14=Backend!$BE$8,$D$14=Backend!$BE$4"</formula>
    </cfRule>
  </conditionalFormatting>
  <conditionalFormatting sqref="E50 I50">
    <cfRule type="expression" priority="149">
      <formula>"Not(or($D$49='Dropdown Options'!$T$5,$D$49='Dropdown Options'!$T$8,$D$49='Dropdown Options'!$T$11,"</formula>
    </cfRule>
  </conditionalFormatting>
  <conditionalFormatting sqref="ET3:ET14 ET21:ET37 ET39 ES42 ET59:EU60 EW59:EW60 FH214 FH239:FH241">
    <cfRule type="containsText" dxfId="40" priority="123" operator="containsText" text="[BEAM">
      <formula>NOT(ISERROR(SEARCH(("[BEAM"),(ES3))))</formula>
    </cfRule>
    <cfRule type="containsText" dxfId="39" priority="124" operator="containsText" text="[Industry">
      <formula>NOT(ISERROR(SEARCH(("[Industry"),(ES3))))</formula>
    </cfRule>
  </conditionalFormatting>
  <conditionalFormatting sqref="ET16:ET19">
    <cfRule type="containsText" dxfId="38" priority="59" operator="containsText" text="[BEAM">
      <formula>NOT(ISERROR(SEARCH(("[BEAM"),(ET16))))</formula>
    </cfRule>
    <cfRule type="containsText" dxfId="37" priority="60" operator="containsText" text="[Industry">
      <formula>NOT(ISERROR(SEARCH(("[Industry"),(ET16))))</formula>
    </cfRule>
  </conditionalFormatting>
  <pageMargins left="0.7" right="0.7" top="0.75" bottom="0.75" header="0.3" footer="0.3"/>
  <pageSetup orientation="portrait" r:id="rId1"/>
  <legacyDrawing r:id="rId2"/>
  <tableParts count="44">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s>
  <extLst>
    <ext xmlns:x14="http://schemas.microsoft.com/office/spreadsheetml/2009/9/main" uri="{78C0D931-6437-407d-A8EE-F0AAD7539E65}">
      <x14:conditionalFormattings>
        <x14:conditionalFormatting xmlns:xm="http://schemas.microsoft.com/office/excel/2006/main">
          <x14:cfRule type="expression" priority="1283" id="{1E98BF00-B48A-43ED-A910-8D4C224885C8}">
            <xm:f>'2. Project Info'!$D$19&lt;$CN$11</xm:f>
            <x14:dxf/>
          </x14:cfRule>
          <xm:sqref>C42 F42:G42</xm:sqref>
        </x14:conditionalFormatting>
        <x14:conditionalFormatting xmlns:xm="http://schemas.microsoft.com/office/excel/2006/main">
          <x14:cfRule type="expression" priority="820" id="{D3C83D3E-8FF8-4C0A-ABA6-0E54252F2A0C}">
            <xm:f>NOT('2. Project Info'!#REF!=$BR$3)</xm:f>
            <x14:dxf/>
          </x14:cfRule>
          <xm:sqref>C27:G27</xm:sqref>
        </x14:conditionalFormatting>
        <x14:conditionalFormatting xmlns:xm="http://schemas.microsoft.com/office/excel/2006/main">
          <x14:cfRule type="expression" priority="904" id="{13FD5D9E-B8B0-4503-AA9F-2C0D18C76EE4}">
            <xm:f>NOT('3. EC Modelling Info'!$F$62=$BV$3)</xm:f>
            <x14:dxf/>
          </x14:cfRule>
          <xm:sqref>C40:G40</xm:sqref>
        </x14:conditionalFormatting>
        <x14:conditionalFormatting xmlns:xm="http://schemas.microsoft.com/office/excel/2006/main">
          <x14:cfRule type="expression" priority="830" id="{F6225527-5C2E-4417-9752-D8552B3F9F25}">
            <xm:f>NOT('2. Project Info'!$F$80=$BR$2)</xm:f>
            <x14:dxf/>
          </x14:cfRule>
          <xm:sqref>C80:G81</xm:sqref>
        </x14:conditionalFormatting>
        <x14:conditionalFormatting xmlns:xm="http://schemas.microsoft.com/office/excel/2006/main">
          <x14:cfRule type="expression" priority="144" id="{B1F3E9CE-3475-4B3D-A308-0F857AAF48A0}">
            <xm:f>NOT('3. EC Modelling Info'!$D$13=$BD$7)</xm:f>
            <x14:dxf/>
          </x14:cfRule>
          <xm:sqref>C14:H14</xm:sqref>
        </x14:conditionalFormatting>
        <x14:conditionalFormatting xmlns:xm="http://schemas.microsoft.com/office/excel/2006/main">
          <x14:cfRule type="expression" priority="132" id="{D179FC7A-2B79-4ECE-8A05-319332E45505}">
            <xm:f>'3. EC Modelling Info'!$D$91=$BR$3</xm:f>
            <x14:dxf/>
          </x14:cfRule>
          <xm:sqref>D16:G16 D34:G34</xm:sqref>
        </x14:conditionalFormatting>
        <x14:conditionalFormatting xmlns:xm="http://schemas.microsoft.com/office/excel/2006/main">
          <x14:cfRule type="expression" priority="135" id="{9AEF0523-F554-4DA7-BC5A-33D503DCEAC7}">
            <xm:f>'3. EC Modelling Info'!$D$40=$BT$3</xm:f>
            <x14:dxf>
              <fill>
                <patternFill>
                  <bgColor theme="0" tint="-0.14996795556505021"/>
                </patternFill>
              </fill>
            </x14:dxf>
          </x14:cfRule>
          <xm:sqref>D57:G57 D83:G83</xm:sqref>
        </x14:conditionalFormatting>
        <x14:conditionalFormatting xmlns:xm="http://schemas.microsoft.com/office/excel/2006/main">
          <x14:cfRule type="expression" priority="905" id="{82994D5C-0E92-42E0-94B5-ADEB6D2AC7FF}">
            <xm:f>OR('3. EC Modelling Info'!$F$62="",'3. EC Modelling Info'!$F$62=$BV$2)</xm:f>
            <x14:dxf/>
          </x14:cfRule>
          <xm:sqref>E36:E37 E40:E41 E45:E46 E50:E51 E55:E56 E59:E60 E64:E65 E69:E70</xm:sqref>
        </x14:conditionalFormatting>
        <x14:conditionalFormatting xmlns:xm="http://schemas.microsoft.com/office/excel/2006/main">
          <x14:cfRule type="expression" priority="147" id="{A49F5261-CFF4-4EE4-B100-A3D770E1517D}">
            <xm:f>NOT('3. EC Modelling Info'!$D$13=$BD$7)</xm:f>
            <x14:dxf/>
          </x14:cfRule>
          <xm:sqref>I14</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P93"/>
  <sheetViews>
    <sheetView tabSelected="1" workbookViewId="0">
      <selection activeCell="D10" sqref="D10:F10"/>
    </sheetView>
  </sheetViews>
  <sheetFormatPr defaultColWidth="0" defaultRowHeight="15" zeroHeight="1"/>
  <cols>
    <col min="1" max="1" width="0.7109375" style="28" customWidth="1"/>
    <col min="2" max="2" width="0.7109375" style="197" customWidth="1"/>
    <col min="3" max="3" width="43.28515625" style="197" customWidth="1"/>
    <col min="4" max="4" width="20.42578125" style="197" customWidth="1"/>
    <col min="5" max="5" width="2.42578125" style="197" customWidth="1"/>
    <col min="6" max="6" width="20.42578125" style="197" customWidth="1"/>
    <col min="7" max="7" width="2.42578125" style="28" customWidth="1"/>
    <col min="8" max="8" width="20.7109375" style="17" customWidth="1"/>
    <col min="9" max="10" width="20.7109375" style="6" customWidth="1"/>
    <col min="11" max="14" width="10.7109375" style="28" hidden="1" customWidth="1"/>
    <col min="15" max="16" width="0" style="28" hidden="1" customWidth="1"/>
    <col min="17" max="16384" width="10.7109375" style="28" hidden="1"/>
  </cols>
  <sheetData>
    <row r="1" spans="1:10" s="33" customFormat="1" ht="5.0999999999999996" customHeight="1" thickBot="1">
      <c r="A1" s="29"/>
      <c r="B1" s="29"/>
      <c r="C1" s="29"/>
      <c r="D1" s="29"/>
      <c r="E1" s="29"/>
      <c r="F1" s="29"/>
      <c r="G1" s="29"/>
      <c r="H1" s="17"/>
      <c r="I1" s="5"/>
      <c r="J1" s="5"/>
    </row>
    <row r="2" spans="1:10" s="33" customFormat="1" ht="30.75" customHeight="1">
      <c r="A2" s="29"/>
      <c r="B2" s="31"/>
      <c r="C2" s="758" t="s">
        <v>218</v>
      </c>
      <c r="D2" s="758"/>
      <c r="E2" s="758"/>
      <c r="F2" s="758"/>
      <c r="G2" s="759"/>
      <c r="H2" s="19"/>
      <c r="I2" s="5"/>
      <c r="J2" s="5"/>
    </row>
    <row r="3" spans="1:10" s="33" customFormat="1" ht="15" customHeight="1">
      <c r="A3" s="29"/>
      <c r="B3" s="34"/>
      <c r="C3" s="133"/>
      <c r="D3" s="133"/>
      <c r="E3" s="133"/>
      <c r="F3" s="36" t="s">
        <v>545</v>
      </c>
      <c r="G3" s="134"/>
      <c r="H3" s="17"/>
      <c r="I3" s="5"/>
      <c r="J3" s="5"/>
    </row>
    <row r="4" spans="1:10" s="33" customFormat="1" ht="18.75" customHeight="1">
      <c r="A4" s="29"/>
      <c r="B4" s="39"/>
      <c r="C4" s="794" t="s">
        <v>14</v>
      </c>
      <c r="D4" s="794"/>
      <c r="E4" s="40"/>
      <c r="F4" s="206" t="s">
        <v>1611</v>
      </c>
      <c r="G4" s="42"/>
      <c r="H4" s="17"/>
      <c r="I4" s="5"/>
      <c r="J4" s="5"/>
    </row>
    <row r="5" spans="1:10" ht="6" customHeight="1" thickBot="1">
      <c r="A5" s="29"/>
      <c r="B5" s="43"/>
      <c r="C5" s="44"/>
      <c r="D5" s="45"/>
      <c r="E5" s="45"/>
      <c r="F5" s="45"/>
      <c r="G5" s="46"/>
    </row>
    <row r="6" spans="1:10" s="33" customFormat="1" ht="15.75">
      <c r="A6" s="29"/>
      <c r="B6" s="136"/>
      <c r="C6" s="795" t="s">
        <v>0</v>
      </c>
      <c r="D6" s="795"/>
      <c r="E6" s="795"/>
      <c r="F6" s="795"/>
      <c r="G6" s="199"/>
      <c r="H6" s="17"/>
      <c r="I6" s="5"/>
      <c r="J6" s="5"/>
    </row>
    <row r="7" spans="1:10" s="33" customFormat="1" ht="46.5" customHeight="1">
      <c r="A7" s="29"/>
      <c r="B7" s="49"/>
      <c r="C7" s="760" t="s">
        <v>508</v>
      </c>
      <c r="D7" s="760"/>
      <c r="E7" s="760"/>
      <c r="F7" s="760"/>
      <c r="G7" s="137"/>
      <c r="H7" s="17"/>
      <c r="I7" s="5"/>
      <c r="J7" s="5"/>
    </row>
    <row r="8" spans="1:10" ht="6" customHeight="1" thickBot="1">
      <c r="A8" s="29"/>
      <c r="B8" s="43"/>
      <c r="C8" s="138"/>
      <c r="D8" s="139"/>
      <c r="E8" s="139"/>
      <c r="F8" s="139"/>
      <c r="G8" s="140"/>
    </row>
    <row r="9" spans="1:10" ht="15.75">
      <c r="A9" s="29"/>
      <c r="B9" s="185"/>
      <c r="C9" s="777" t="s">
        <v>15</v>
      </c>
      <c r="D9" s="777"/>
      <c r="E9" s="777"/>
      <c r="F9" s="777"/>
      <c r="G9" s="778"/>
    </row>
    <row r="10" spans="1:10">
      <c r="A10" s="29"/>
      <c r="B10" s="141"/>
      <c r="C10" s="144" t="s">
        <v>16</v>
      </c>
      <c r="D10" s="767" t="s">
        <v>1614</v>
      </c>
      <c r="E10" s="768"/>
      <c r="F10" s="769"/>
      <c r="G10" s="200"/>
    </row>
    <row r="11" spans="1:10" ht="24.75">
      <c r="A11" s="29"/>
      <c r="B11" s="165"/>
      <c r="C11" s="61" t="s">
        <v>17</v>
      </c>
      <c r="D11" s="767" t="s">
        <v>1615</v>
      </c>
      <c r="E11" s="768"/>
      <c r="F11" s="769"/>
      <c r="G11" s="155"/>
    </row>
    <row r="12" spans="1:10">
      <c r="A12" s="29"/>
      <c r="B12" s="165"/>
      <c r="C12" s="61" t="s">
        <v>18</v>
      </c>
      <c r="D12" s="756" t="s">
        <v>19</v>
      </c>
      <c r="E12" s="793"/>
      <c r="F12" s="757"/>
      <c r="G12" s="155"/>
    </row>
    <row r="13" spans="1:10">
      <c r="A13" s="29"/>
      <c r="B13" s="165"/>
      <c r="C13" s="61" t="s">
        <v>20</v>
      </c>
      <c r="D13" s="756" t="s">
        <v>21</v>
      </c>
      <c r="E13" s="793"/>
      <c r="F13" s="757"/>
      <c r="G13" s="155"/>
    </row>
    <row r="14" spans="1:10" ht="24.75">
      <c r="A14" s="29"/>
      <c r="B14" s="141"/>
      <c r="C14" s="61" t="s">
        <v>22</v>
      </c>
      <c r="D14" s="767" t="s">
        <v>1616</v>
      </c>
      <c r="E14" s="768"/>
      <c r="F14" s="769"/>
      <c r="G14" s="201"/>
    </row>
    <row r="15" spans="1:10" ht="24.75">
      <c r="A15" s="29"/>
      <c r="B15" s="165"/>
      <c r="C15" s="61" t="s">
        <v>23</v>
      </c>
      <c r="D15" s="773"/>
      <c r="E15" s="774"/>
      <c r="F15" s="775"/>
      <c r="G15" s="155"/>
    </row>
    <row r="16" spans="1:10" ht="24.75">
      <c r="A16" s="29"/>
      <c r="B16" s="167"/>
      <c r="C16" s="202" t="s">
        <v>24</v>
      </c>
      <c r="D16" s="773"/>
      <c r="E16" s="774"/>
      <c r="F16" s="775"/>
      <c r="G16" s="201"/>
    </row>
    <row r="17" spans="1:10">
      <c r="A17" s="29"/>
      <c r="B17" s="141"/>
      <c r="C17" s="144" t="s">
        <v>25</v>
      </c>
      <c r="D17" s="782">
        <v>1</v>
      </c>
      <c r="E17" s="783"/>
      <c r="F17" s="784"/>
      <c r="G17" s="203"/>
      <c r="H17" s="209"/>
    </row>
    <row r="18" spans="1:10">
      <c r="A18" s="29"/>
      <c r="B18" s="141"/>
      <c r="C18" s="144" t="s">
        <v>26</v>
      </c>
      <c r="D18" s="782">
        <v>1</v>
      </c>
      <c r="E18" s="783"/>
      <c r="F18" s="784"/>
      <c r="G18" s="203"/>
    </row>
    <row r="19" spans="1:10" ht="32.25" customHeight="1">
      <c r="A19" s="29"/>
      <c r="B19" s="165"/>
      <c r="C19" s="61" t="s">
        <v>27</v>
      </c>
      <c r="D19" s="770">
        <v>45931</v>
      </c>
      <c r="E19" s="771"/>
      <c r="F19" s="772"/>
      <c r="G19" s="155"/>
      <c r="H19" s="248"/>
      <c r="I19" s="701"/>
      <c r="J19" s="701"/>
    </row>
    <row r="20" spans="1:10">
      <c r="A20" s="29"/>
      <c r="B20" s="141"/>
      <c r="C20" s="144" t="s">
        <v>28</v>
      </c>
      <c r="D20" s="770">
        <v>45931</v>
      </c>
      <c r="E20" s="771"/>
      <c r="F20" s="772"/>
      <c r="G20" s="155"/>
      <c r="H20" s="209"/>
    </row>
    <row r="21" spans="1:10">
      <c r="A21" s="29"/>
      <c r="B21" s="141"/>
      <c r="C21" s="144" t="s">
        <v>29</v>
      </c>
      <c r="D21" s="773"/>
      <c r="E21" s="774"/>
      <c r="F21" s="775"/>
      <c r="G21" s="155"/>
    </row>
    <row r="22" spans="1:10" ht="6" customHeight="1" thickBot="1">
      <c r="A22" s="29"/>
      <c r="B22" s="72"/>
      <c r="C22" s="44"/>
      <c r="D22" s="45"/>
      <c r="E22" s="45"/>
      <c r="F22" s="45"/>
      <c r="G22" s="46"/>
    </row>
    <row r="23" spans="1:10" ht="15.75">
      <c r="A23" s="29"/>
      <c r="B23" s="185"/>
      <c r="C23" s="777" t="s">
        <v>30</v>
      </c>
      <c r="D23" s="777"/>
      <c r="E23" s="777"/>
      <c r="F23" s="777"/>
      <c r="G23" s="778"/>
    </row>
    <row r="24" spans="1:10" ht="28.5" customHeight="1">
      <c r="A24" s="29"/>
      <c r="B24" s="52"/>
      <c r="C24" s="785" t="s">
        <v>509</v>
      </c>
      <c r="D24" s="785"/>
      <c r="E24" s="785"/>
      <c r="F24" s="785"/>
      <c r="G24" s="48"/>
    </row>
    <row r="25" spans="1:10" ht="6" customHeight="1">
      <c r="A25" s="29"/>
      <c r="B25" s="43"/>
      <c r="C25" s="475"/>
      <c r="D25" s="476"/>
      <c r="E25" s="476"/>
      <c r="F25" s="476"/>
      <c r="G25" s="140"/>
    </row>
    <row r="26" spans="1:10">
      <c r="A26" s="29"/>
      <c r="B26" s="141"/>
      <c r="C26" s="262" t="s">
        <v>31</v>
      </c>
      <c r="D26" s="776"/>
      <c r="E26" s="776"/>
      <c r="F26" s="776"/>
      <c r="G26" s="155"/>
    </row>
    <row r="27" spans="1:10">
      <c r="A27" s="29"/>
      <c r="B27" s="141"/>
      <c r="C27" s="262" t="s">
        <v>32</v>
      </c>
      <c r="D27" s="776"/>
      <c r="E27" s="776"/>
      <c r="F27" s="776"/>
      <c r="G27" s="155"/>
    </row>
    <row r="28" spans="1:10">
      <c r="A28" s="29"/>
      <c r="B28" s="141"/>
      <c r="C28" s="262" t="s">
        <v>33</v>
      </c>
      <c r="D28" s="776"/>
      <c r="E28" s="776"/>
      <c r="F28" s="776"/>
      <c r="G28" s="155"/>
    </row>
    <row r="29" spans="1:10">
      <c r="A29" s="29"/>
      <c r="B29" s="141"/>
      <c r="C29" s="262" t="s">
        <v>34</v>
      </c>
      <c r="D29" s="779" t="s">
        <v>118</v>
      </c>
      <c r="E29" s="779"/>
      <c r="F29" s="779"/>
      <c r="G29" s="155"/>
    </row>
    <row r="30" spans="1:10">
      <c r="A30" s="29"/>
      <c r="B30" s="141"/>
      <c r="C30" s="262" t="s">
        <v>35</v>
      </c>
      <c r="D30" s="779" t="s">
        <v>329</v>
      </c>
      <c r="E30" s="779"/>
      <c r="F30" s="779"/>
      <c r="G30" s="155"/>
    </row>
    <row r="31" spans="1:10">
      <c r="A31" s="29"/>
      <c r="B31" s="141"/>
      <c r="C31" s="262" t="s">
        <v>1390</v>
      </c>
      <c r="D31" s="764"/>
      <c r="E31" s="765"/>
      <c r="F31" s="766"/>
      <c r="G31" s="155"/>
      <c r="H31" s="209"/>
      <c r="I31" s="702"/>
      <c r="J31" s="701"/>
    </row>
    <row r="32" spans="1:10">
      <c r="A32" s="29"/>
      <c r="B32" s="141"/>
      <c r="C32" s="262" t="s">
        <v>36</v>
      </c>
      <c r="D32" s="780"/>
      <c r="E32" s="780"/>
      <c r="F32" s="780"/>
      <c r="G32" s="155"/>
    </row>
    <row r="33" spans="1:8">
      <c r="A33" s="29"/>
      <c r="B33" s="204"/>
      <c r="C33" s="489" t="s">
        <v>37</v>
      </c>
      <c r="D33" s="779" t="s">
        <v>329</v>
      </c>
      <c r="E33" s="779"/>
      <c r="F33" s="779"/>
      <c r="G33" s="155"/>
    </row>
    <row r="34" spans="1:8">
      <c r="A34" s="29"/>
      <c r="B34" s="141"/>
      <c r="C34" s="262" t="s">
        <v>488</v>
      </c>
      <c r="D34" s="779" t="s">
        <v>499</v>
      </c>
      <c r="E34" s="779"/>
      <c r="F34" s="779"/>
      <c r="G34" s="155"/>
      <c r="H34" s="209"/>
    </row>
    <row r="35" spans="1:8">
      <c r="A35" s="29"/>
      <c r="B35" s="141"/>
      <c r="C35" s="262" t="s">
        <v>490</v>
      </c>
      <c r="D35" s="796"/>
      <c r="E35" s="796"/>
      <c r="F35" s="796"/>
      <c r="G35" s="155"/>
    </row>
    <row r="36" spans="1:8">
      <c r="A36" s="29"/>
      <c r="B36" s="141"/>
      <c r="C36" s="262" t="s">
        <v>489</v>
      </c>
      <c r="D36" s="776"/>
      <c r="E36" s="776"/>
      <c r="F36" s="776"/>
      <c r="G36" s="155"/>
    </row>
    <row r="37" spans="1:8">
      <c r="A37" s="29"/>
      <c r="B37" s="141"/>
      <c r="C37" s="262" t="s">
        <v>491</v>
      </c>
      <c r="D37" s="786"/>
      <c r="E37" s="787"/>
      <c r="F37" s="788"/>
      <c r="G37" s="155"/>
    </row>
    <row r="38" spans="1:8">
      <c r="A38" s="29"/>
      <c r="B38" s="141"/>
      <c r="C38" s="262" t="s">
        <v>40</v>
      </c>
      <c r="D38" s="779" t="s">
        <v>243</v>
      </c>
      <c r="E38" s="779"/>
      <c r="F38" s="779"/>
      <c r="G38" s="155"/>
      <c r="H38" s="209"/>
    </row>
    <row r="39" spans="1:8" ht="6" customHeight="1">
      <c r="A39" s="29"/>
      <c r="B39" s="52"/>
      <c r="C39" s="430"/>
      <c r="D39" s="430"/>
      <c r="E39" s="430"/>
      <c r="F39" s="430"/>
      <c r="G39" s="48"/>
    </row>
    <row r="40" spans="1:8" ht="15.75">
      <c r="A40" s="29"/>
      <c r="B40" s="52"/>
      <c r="C40" s="785" t="s">
        <v>431</v>
      </c>
      <c r="D40" s="785"/>
      <c r="E40" s="785"/>
      <c r="F40" s="785"/>
      <c r="G40" s="48"/>
    </row>
    <row r="41" spans="1:8">
      <c r="A41" s="29"/>
      <c r="B41" s="141"/>
      <c r="C41" s="262" t="s">
        <v>41</v>
      </c>
      <c r="D41" s="781">
        <v>5000</v>
      </c>
      <c r="E41" s="781"/>
      <c r="F41" s="781"/>
      <c r="G41" s="155"/>
    </row>
    <row r="42" spans="1:8">
      <c r="A42" s="29"/>
      <c r="B42" s="141"/>
      <c r="C42" s="262" t="s">
        <v>42</v>
      </c>
      <c r="D42" s="781">
        <v>1400</v>
      </c>
      <c r="E42" s="781"/>
      <c r="F42" s="781"/>
      <c r="G42" s="155"/>
    </row>
    <row r="43" spans="1:8">
      <c r="A43" s="29"/>
      <c r="B43" s="141"/>
      <c r="C43" s="262" t="s">
        <v>1426</v>
      </c>
      <c r="D43" s="789">
        <f>IF(D41+D42=0,"",D41+D42)</f>
        <v>6400</v>
      </c>
      <c r="E43" s="789"/>
      <c r="F43" s="789"/>
      <c r="G43" s="155"/>
    </row>
    <row r="44" spans="1:8" ht="6" customHeight="1">
      <c r="A44" s="29"/>
      <c r="B44" s="52"/>
      <c r="C44" s="430"/>
      <c r="D44" s="430"/>
      <c r="E44" s="430"/>
      <c r="F44" s="430"/>
      <c r="G44" s="48"/>
    </row>
    <row r="45" spans="1:8" ht="30" customHeight="1">
      <c r="A45" s="29"/>
      <c r="B45" s="52"/>
      <c r="C45" s="785" t="str">
        <f>IF(D17&gt;1,"■ Provide the number of storeys and height for the tallest building included in this Design Report.",IF(D38='Backend (to be hidden)'!Q3,"■ VBBL does not apply to projects under 1800 m2. Please refer to the Bylaw to confirm applicability of embodied carbon requirements.",""))</f>
        <v/>
      </c>
      <c r="D45" s="785"/>
      <c r="E45" s="785"/>
      <c r="F45" s="785"/>
      <c r="G45" s="48"/>
    </row>
    <row r="46" spans="1:8">
      <c r="A46" s="29"/>
      <c r="B46" s="141"/>
      <c r="C46" s="262" t="s">
        <v>43</v>
      </c>
      <c r="D46" s="781">
        <v>6</v>
      </c>
      <c r="E46" s="781"/>
      <c r="F46" s="781"/>
      <c r="G46" s="155"/>
    </row>
    <row r="47" spans="1:8">
      <c r="A47" s="29"/>
      <c r="B47" s="141"/>
      <c r="C47" s="262" t="s">
        <v>44</v>
      </c>
      <c r="D47" s="781">
        <v>1</v>
      </c>
      <c r="E47" s="781"/>
      <c r="F47" s="781"/>
      <c r="G47" s="155"/>
    </row>
    <row r="48" spans="1:8">
      <c r="A48" s="29"/>
      <c r="B48" s="141"/>
      <c r="C48" s="262" t="s">
        <v>45</v>
      </c>
      <c r="D48" s="797" t="s">
        <v>320</v>
      </c>
      <c r="E48" s="797"/>
      <c r="F48" s="797"/>
      <c r="G48" s="155"/>
    </row>
    <row r="49" spans="1:9">
      <c r="A49" s="29"/>
      <c r="B49" s="141"/>
      <c r="C49" s="262" t="s">
        <v>516</v>
      </c>
      <c r="D49" s="781">
        <v>80</v>
      </c>
      <c r="E49" s="781"/>
      <c r="F49" s="781"/>
      <c r="G49" s="155"/>
      <c r="H49" s="209"/>
      <c r="I49" s="249"/>
    </row>
    <row r="50" spans="1:9">
      <c r="A50" s="29"/>
      <c r="B50" s="141"/>
      <c r="C50" s="262" t="s">
        <v>46</v>
      </c>
      <c r="D50" s="781">
        <v>20</v>
      </c>
      <c r="E50" s="781"/>
      <c r="F50" s="781"/>
      <c r="G50" s="155"/>
    </row>
    <row r="51" spans="1:9" ht="6" customHeight="1">
      <c r="A51" s="29"/>
      <c r="B51" s="52"/>
      <c r="C51" s="430"/>
      <c r="D51" s="430"/>
      <c r="E51" s="430"/>
      <c r="F51" s="430"/>
      <c r="G51" s="48"/>
    </row>
    <row r="52" spans="1:9" ht="15.75">
      <c r="A52" s="29"/>
      <c r="B52" s="52"/>
      <c r="C52" s="785" t="s">
        <v>47</v>
      </c>
      <c r="D52" s="785"/>
      <c r="E52" s="785"/>
      <c r="F52" s="785"/>
      <c r="G52" s="48"/>
    </row>
    <row r="53" spans="1:9">
      <c r="A53" s="29"/>
      <c r="B53" s="141"/>
      <c r="C53" s="262" t="s">
        <v>48</v>
      </c>
      <c r="D53" s="781">
        <v>77</v>
      </c>
      <c r="E53" s="781"/>
      <c r="F53" s="781"/>
      <c r="G53" s="155"/>
      <c r="H53" s="209"/>
    </row>
    <row r="54" spans="1:9">
      <c r="A54" s="29"/>
      <c r="B54" s="141"/>
      <c r="C54" s="262" t="s">
        <v>49</v>
      </c>
      <c r="D54" s="761">
        <v>105</v>
      </c>
      <c r="E54" s="762"/>
      <c r="F54" s="763"/>
      <c r="G54" s="155"/>
    </row>
    <row r="55" spans="1:9" ht="6" customHeight="1" thickBot="1">
      <c r="A55" s="29"/>
      <c r="B55" s="72"/>
      <c r="C55" s="44"/>
      <c r="D55" s="45"/>
      <c r="E55" s="45"/>
      <c r="F55" s="45"/>
      <c r="G55" s="46"/>
    </row>
    <row r="56" spans="1:9" ht="15.75">
      <c r="A56" s="29"/>
      <c r="B56" s="52"/>
      <c r="C56" s="777" t="s">
        <v>50</v>
      </c>
      <c r="D56" s="777"/>
      <c r="E56" s="777"/>
      <c r="F56" s="777"/>
      <c r="G56" s="778"/>
    </row>
    <row r="57" spans="1:9" ht="15.75">
      <c r="A57" s="29"/>
      <c r="B57" s="52"/>
      <c r="C57" s="798" t="s">
        <v>51</v>
      </c>
      <c r="D57" s="798"/>
      <c r="E57" s="798"/>
      <c r="F57" s="798"/>
      <c r="G57" s="48"/>
    </row>
    <row r="58" spans="1:9">
      <c r="A58" s="29"/>
      <c r="B58" s="141"/>
      <c r="C58" s="144" t="s">
        <v>52</v>
      </c>
      <c r="D58" s="767" t="s">
        <v>265</v>
      </c>
      <c r="E58" s="768"/>
      <c r="F58" s="769"/>
      <c r="G58" s="155"/>
    </row>
    <row r="59" spans="1:9">
      <c r="A59" s="29"/>
      <c r="B59" s="168"/>
      <c r="C59" s="186" t="s">
        <v>53</v>
      </c>
      <c r="D59" s="767"/>
      <c r="E59" s="768"/>
      <c r="F59" s="769"/>
      <c r="G59" s="155"/>
    </row>
    <row r="60" spans="1:9">
      <c r="A60" s="29"/>
      <c r="B60" s="141"/>
      <c r="C60" s="144" t="s">
        <v>54</v>
      </c>
      <c r="D60" s="767" t="s">
        <v>137</v>
      </c>
      <c r="E60" s="768"/>
      <c r="F60" s="769"/>
      <c r="G60" s="155"/>
    </row>
    <row r="61" spans="1:9">
      <c r="A61" s="29"/>
      <c r="B61" s="168"/>
      <c r="C61" s="186" t="s">
        <v>53</v>
      </c>
      <c r="D61" s="767"/>
      <c r="E61" s="768"/>
      <c r="F61" s="769"/>
      <c r="G61" s="155"/>
    </row>
    <row r="62" spans="1:9">
      <c r="A62" s="29"/>
      <c r="B62" s="141"/>
      <c r="C62" s="144" t="s">
        <v>55</v>
      </c>
      <c r="D62" s="767" t="s">
        <v>156</v>
      </c>
      <c r="E62" s="768"/>
      <c r="F62" s="769"/>
      <c r="G62" s="155"/>
    </row>
    <row r="63" spans="1:9">
      <c r="A63" s="29"/>
      <c r="B63" s="168"/>
      <c r="C63" s="186" t="s">
        <v>53</v>
      </c>
      <c r="D63" s="767"/>
      <c r="E63" s="768"/>
      <c r="F63" s="769"/>
      <c r="G63" s="155"/>
    </row>
    <row r="64" spans="1:9">
      <c r="A64" s="29"/>
      <c r="B64" s="141"/>
      <c r="C64" s="144" t="s">
        <v>56</v>
      </c>
      <c r="D64" s="767" t="s">
        <v>172</v>
      </c>
      <c r="E64" s="768"/>
      <c r="F64" s="769"/>
      <c r="G64" s="155"/>
    </row>
    <row r="65" spans="1:8">
      <c r="A65" s="29"/>
      <c r="B65" s="168"/>
      <c r="C65" s="186" t="s">
        <v>53</v>
      </c>
      <c r="D65" s="767"/>
      <c r="E65" s="768"/>
      <c r="F65" s="769"/>
      <c r="G65" s="155"/>
    </row>
    <row r="66" spans="1:8">
      <c r="A66" s="29"/>
      <c r="B66" s="141"/>
      <c r="C66" s="144" t="s">
        <v>57</v>
      </c>
      <c r="D66" s="767" t="s">
        <v>181</v>
      </c>
      <c r="E66" s="768"/>
      <c r="F66" s="769"/>
      <c r="G66" s="155"/>
      <c r="H66" s="209"/>
    </row>
    <row r="67" spans="1:8">
      <c r="A67" s="29"/>
      <c r="B67" s="141"/>
      <c r="C67" s="144" t="s">
        <v>58</v>
      </c>
      <c r="D67" s="767" t="s">
        <v>270</v>
      </c>
      <c r="E67" s="768"/>
      <c r="F67" s="769"/>
      <c r="G67" s="155"/>
    </row>
    <row r="68" spans="1:8">
      <c r="A68" s="29"/>
      <c r="B68" s="168"/>
      <c r="C68" s="186" t="s">
        <v>53</v>
      </c>
      <c r="D68" s="767"/>
      <c r="E68" s="768"/>
      <c r="F68" s="769"/>
      <c r="G68" s="155"/>
    </row>
    <row r="69" spans="1:8">
      <c r="A69" s="29"/>
      <c r="B69" s="141"/>
      <c r="C69" s="144" t="s">
        <v>59</v>
      </c>
      <c r="D69" s="773"/>
      <c r="E69" s="774"/>
      <c r="F69" s="775"/>
      <c r="G69" s="155"/>
    </row>
    <row r="70" spans="1:8">
      <c r="A70" s="29"/>
      <c r="B70" s="141"/>
      <c r="C70" s="144" t="s">
        <v>60</v>
      </c>
      <c r="D70" s="773"/>
      <c r="E70" s="774"/>
      <c r="F70" s="775"/>
      <c r="G70" s="155"/>
    </row>
    <row r="71" spans="1:8">
      <c r="A71" s="29"/>
      <c r="B71" s="141"/>
      <c r="C71" s="144" t="s">
        <v>61</v>
      </c>
      <c r="D71" s="790"/>
      <c r="E71" s="791"/>
      <c r="F71" s="792"/>
      <c r="G71" s="155"/>
    </row>
    <row r="72" spans="1:8">
      <c r="A72" s="29"/>
      <c r="B72" s="141"/>
      <c r="C72" s="144" t="s">
        <v>62</v>
      </c>
      <c r="D72" s="773"/>
      <c r="E72" s="774"/>
      <c r="F72" s="775"/>
      <c r="G72" s="155"/>
    </row>
    <row r="73" spans="1:8">
      <c r="A73" s="29"/>
      <c r="B73" s="141"/>
      <c r="C73" s="144" t="s">
        <v>63</v>
      </c>
      <c r="D73" s="773"/>
      <c r="E73" s="774"/>
      <c r="F73" s="775"/>
      <c r="G73" s="155"/>
    </row>
    <row r="74" spans="1:8">
      <c r="A74" s="29"/>
      <c r="B74" s="141"/>
      <c r="C74" s="144" t="s">
        <v>64</v>
      </c>
      <c r="D74" s="773"/>
      <c r="E74" s="774"/>
      <c r="F74" s="775"/>
      <c r="G74" s="155"/>
    </row>
    <row r="75" spans="1:8">
      <c r="A75" s="29"/>
      <c r="B75" s="141"/>
      <c r="C75" s="144" t="s">
        <v>65</v>
      </c>
      <c r="D75" s="773"/>
      <c r="E75" s="774"/>
      <c r="F75" s="775"/>
      <c r="G75" s="155"/>
    </row>
    <row r="76" spans="1:8">
      <c r="A76" s="29"/>
      <c r="B76" s="141"/>
      <c r="C76" s="144" t="s">
        <v>66</v>
      </c>
      <c r="D76" s="773"/>
      <c r="E76" s="774"/>
      <c r="F76" s="775"/>
      <c r="G76" s="155"/>
    </row>
    <row r="77" spans="1:8">
      <c r="A77" s="29"/>
      <c r="B77" s="141"/>
      <c r="C77" s="144" t="s">
        <v>67</v>
      </c>
      <c r="D77" s="773"/>
      <c r="E77" s="774"/>
      <c r="F77" s="775"/>
      <c r="G77" s="155"/>
    </row>
    <row r="78" spans="1:8" ht="6" customHeight="1" thickBot="1">
      <c r="A78" s="29"/>
      <c r="B78" s="72"/>
      <c r="C78" s="44"/>
      <c r="D78" s="45"/>
      <c r="E78" s="45"/>
      <c r="F78" s="45"/>
      <c r="G78" s="46"/>
    </row>
    <row r="79" spans="1:8" ht="15" customHeight="1">
      <c r="A79" s="29"/>
      <c r="B79" s="185"/>
      <c r="C79" s="777"/>
      <c r="D79" s="777"/>
      <c r="E79" s="777"/>
      <c r="F79" s="777"/>
      <c r="G79" s="778"/>
    </row>
    <row r="80" spans="1:8" ht="15" customHeight="1">
      <c r="A80" s="6"/>
      <c r="B80" s="6"/>
      <c r="C80" s="6"/>
      <c r="D80" s="6"/>
      <c r="E80" s="6"/>
      <c r="F80" s="6"/>
      <c r="G80" s="6"/>
      <c r="H80" s="6"/>
    </row>
    <row r="81" spans="1:8" ht="15" customHeight="1">
      <c r="A81" s="6"/>
      <c r="B81" s="6"/>
      <c r="C81" s="6"/>
      <c r="D81" s="6"/>
      <c r="E81" s="6"/>
      <c r="F81" s="6"/>
      <c r="G81" s="6"/>
      <c r="H81" s="6"/>
    </row>
    <row r="82" spans="1:8" ht="15" hidden="1" customHeight="1">
      <c r="A82" s="6"/>
      <c r="B82" s="6"/>
      <c r="C82" s="6"/>
      <c r="D82" s="6"/>
      <c r="E82" s="6"/>
      <c r="F82" s="6"/>
      <c r="G82" s="6"/>
      <c r="H82" s="6"/>
    </row>
    <row r="83" spans="1:8" ht="15" hidden="1" customHeight="1">
      <c r="A83" s="6"/>
      <c r="B83" s="6"/>
      <c r="C83" s="6"/>
      <c r="D83" s="6"/>
      <c r="E83" s="6"/>
      <c r="F83" s="6"/>
      <c r="G83" s="6"/>
      <c r="H83" s="6"/>
    </row>
    <row r="84" spans="1:8" ht="15" hidden="1" customHeight="1">
      <c r="A84" s="6"/>
      <c r="B84" s="6"/>
      <c r="C84" s="6"/>
      <c r="D84" s="6"/>
      <c r="E84" s="6"/>
      <c r="F84" s="6"/>
      <c r="G84" s="6"/>
      <c r="H84" s="6"/>
    </row>
    <row r="85" spans="1:8" ht="15" hidden="1" customHeight="1">
      <c r="A85" s="6"/>
      <c r="B85" s="6"/>
      <c r="C85" s="6"/>
      <c r="D85" s="6"/>
      <c r="E85" s="6"/>
      <c r="F85" s="6"/>
      <c r="G85" s="6"/>
      <c r="H85" s="6"/>
    </row>
    <row r="86" spans="1:8" ht="15" hidden="1" customHeight="1">
      <c r="A86" s="6"/>
      <c r="B86" s="6"/>
      <c r="C86" s="6"/>
      <c r="D86" s="6"/>
      <c r="E86" s="6"/>
      <c r="F86" s="6"/>
      <c r="G86" s="6"/>
      <c r="H86" s="6"/>
    </row>
    <row r="87" spans="1:8" ht="15" hidden="1" customHeight="1">
      <c r="A87" s="6"/>
      <c r="B87" s="6"/>
      <c r="C87" s="6"/>
      <c r="D87" s="6"/>
      <c r="E87" s="6"/>
      <c r="F87" s="6"/>
      <c r="G87" s="6"/>
      <c r="H87" s="6"/>
    </row>
    <row r="88" spans="1:8" ht="15" hidden="1" customHeight="1">
      <c r="A88" s="6"/>
      <c r="B88" s="6"/>
      <c r="C88" s="6"/>
      <c r="D88" s="6"/>
      <c r="E88" s="6"/>
      <c r="F88" s="6"/>
      <c r="G88" s="6"/>
      <c r="H88" s="6"/>
    </row>
    <row r="89" spans="1:8" ht="15" hidden="1" customHeight="1">
      <c r="A89" s="6"/>
      <c r="B89" s="6"/>
      <c r="C89" s="6"/>
      <c r="D89" s="6"/>
      <c r="E89" s="6"/>
      <c r="F89" s="6"/>
      <c r="G89" s="6"/>
      <c r="H89" s="6"/>
    </row>
    <row r="90" spans="1:8" ht="15" hidden="1" customHeight="1">
      <c r="A90" s="6"/>
      <c r="B90" s="6"/>
      <c r="C90" s="6"/>
      <c r="D90" s="6"/>
      <c r="E90" s="6"/>
      <c r="F90" s="6"/>
      <c r="G90" s="6"/>
      <c r="H90" s="6"/>
    </row>
    <row r="91" spans="1:8" ht="15" hidden="1" customHeight="1">
      <c r="A91" s="6"/>
      <c r="B91" s="6"/>
      <c r="C91" s="6"/>
      <c r="D91" s="6"/>
      <c r="E91" s="6"/>
      <c r="F91" s="6"/>
      <c r="G91" s="6"/>
      <c r="H91" s="6"/>
    </row>
    <row r="92" spans="1:8" ht="15" hidden="1" customHeight="1">
      <c r="A92" s="6"/>
      <c r="B92" s="6"/>
      <c r="C92" s="6"/>
      <c r="D92" s="6"/>
      <c r="E92" s="6"/>
      <c r="F92" s="6"/>
      <c r="G92" s="6"/>
      <c r="H92" s="6"/>
    </row>
    <row r="93" spans="1:8" ht="15" hidden="1" customHeight="1">
      <c r="A93" s="6"/>
      <c r="B93" s="6"/>
      <c r="C93" s="6"/>
      <c r="D93" s="6"/>
      <c r="E93" s="6"/>
      <c r="F93" s="6"/>
      <c r="G93" s="6"/>
      <c r="H93" s="6"/>
    </row>
  </sheetData>
  <sheetProtection algorithmName="SHA-512" hashValue="CrI7W2OK/6CAYoj4PZwad6bphTRRtvPzk1uxiTSsgN6MZhG/GOAdRJkYeFpf0zSM6RbIoHt9pR9cmNeUTkGbFA==" saltValue="iLiW4kSGO4W4rHYOoB1oFw==" spinCount="100000" sheet="1" formatRows="0"/>
  <mergeCells count="68">
    <mergeCell ref="D35:F35"/>
    <mergeCell ref="D36:F36"/>
    <mergeCell ref="D68:F68"/>
    <mergeCell ref="D69:F69"/>
    <mergeCell ref="C79:G79"/>
    <mergeCell ref="D70:F70"/>
    <mergeCell ref="D67:F67"/>
    <mergeCell ref="D47:F47"/>
    <mergeCell ref="D48:F48"/>
    <mergeCell ref="D50:F50"/>
    <mergeCell ref="D63:F63"/>
    <mergeCell ref="D64:F64"/>
    <mergeCell ref="C52:F52"/>
    <mergeCell ref="C57:F57"/>
    <mergeCell ref="D62:F62"/>
    <mergeCell ref="D60:F60"/>
    <mergeCell ref="C2:G2"/>
    <mergeCell ref="C9:G9"/>
    <mergeCell ref="D10:F10"/>
    <mergeCell ref="C4:D4"/>
    <mergeCell ref="D16:F16"/>
    <mergeCell ref="C7:F7"/>
    <mergeCell ref="C6:F6"/>
    <mergeCell ref="D17:F17"/>
    <mergeCell ref="D11:F11"/>
    <mergeCell ref="D12:F12"/>
    <mergeCell ref="D13:F13"/>
    <mergeCell ref="D14:F14"/>
    <mergeCell ref="C56:G56"/>
    <mergeCell ref="D77:F77"/>
    <mergeCell ref="D71:F71"/>
    <mergeCell ref="D72:F72"/>
    <mergeCell ref="D73:F73"/>
    <mergeCell ref="D74:F74"/>
    <mergeCell ref="D75:F75"/>
    <mergeCell ref="D76:F76"/>
    <mergeCell ref="D49:F49"/>
    <mergeCell ref="D58:F58"/>
    <mergeCell ref="D59:F59"/>
    <mergeCell ref="D61:F61"/>
    <mergeCell ref="D15:F15"/>
    <mergeCell ref="D18:F18"/>
    <mergeCell ref="C40:F40"/>
    <mergeCell ref="D38:F38"/>
    <mergeCell ref="D29:F29"/>
    <mergeCell ref="C24:F24"/>
    <mergeCell ref="D41:F41"/>
    <mergeCell ref="D42:F42"/>
    <mergeCell ref="D46:F46"/>
    <mergeCell ref="D37:F37"/>
    <mergeCell ref="D43:F43"/>
    <mergeCell ref="C45:F45"/>
    <mergeCell ref="D54:F54"/>
    <mergeCell ref="D31:F31"/>
    <mergeCell ref="D66:F66"/>
    <mergeCell ref="D19:F19"/>
    <mergeCell ref="D20:F20"/>
    <mergeCell ref="D21:F21"/>
    <mergeCell ref="D26:F26"/>
    <mergeCell ref="D27:F27"/>
    <mergeCell ref="C23:G23"/>
    <mergeCell ref="D28:F28"/>
    <mergeCell ref="D30:F30"/>
    <mergeCell ref="D32:F32"/>
    <mergeCell ref="D33:F33"/>
    <mergeCell ref="D34:F34"/>
    <mergeCell ref="D65:F65"/>
    <mergeCell ref="D53:F53"/>
  </mergeCells>
  <conditionalFormatting sqref="B79:G79">
    <cfRule type="expression" dxfId="211" priority="28">
      <formula>NOT($D$17&gt;1)</formula>
    </cfRule>
  </conditionalFormatting>
  <conditionalFormatting sqref="C24">
    <cfRule type="expression" dxfId="209" priority="36">
      <formula>NOT($D$18&gt;=2)</formula>
    </cfRule>
  </conditionalFormatting>
  <conditionalFormatting sqref="C40">
    <cfRule type="expression" dxfId="208" priority="41">
      <formula>NOT($D$18&gt;=2)</formula>
    </cfRule>
  </conditionalFormatting>
  <conditionalFormatting sqref="C45">
    <cfRule type="expression" dxfId="207" priority="40">
      <formula>AND(NOT($D$18&gt;=2),$D$41&gt;1799)</formula>
    </cfRule>
  </conditionalFormatting>
  <conditionalFormatting sqref="C52">
    <cfRule type="expression" dxfId="206" priority="39">
      <formula>NOT($D$18&gt;=2)</formula>
    </cfRule>
  </conditionalFormatting>
  <conditionalFormatting sqref="C57">
    <cfRule type="expression" dxfId="205" priority="37">
      <formula>NOT($D$18&gt;=2)</formula>
    </cfRule>
  </conditionalFormatting>
  <conditionalFormatting sqref="C35:F35">
    <cfRule type="expression" dxfId="204" priority="24">
      <formula>$D$36=""</formula>
    </cfRule>
  </conditionalFormatting>
  <conditionalFormatting sqref="C37:F37">
    <cfRule type="expression" dxfId="203" priority="45">
      <formula>$D$36=""</formula>
    </cfRule>
  </conditionalFormatting>
  <conditionalFormatting sqref="D18:F18">
    <cfRule type="expression" dxfId="196" priority="25">
      <formula>NOT($D$17&gt;1)</formula>
    </cfRule>
  </conditionalFormatting>
  <dataValidations count="18">
    <dataValidation type="list" allowBlank="1" showInputMessage="1" showErrorMessage="1" sqref="D34 D36" xr:uid="{00000000-0002-0000-0100-000000000000}">
      <formula1>INDIRECT("PrimaryBuildingUse")</formula1>
    </dataValidation>
    <dataValidation type="list" allowBlank="1" showInputMessage="1" showErrorMessage="1" sqref="D29" xr:uid="{00000000-0002-0000-0100-000001000000}">
      <formula1>INDIRECT("CurrentProjectPhase")</formula1>
    </dataValidation>
    <dataValidation type="list" allowBlank="1" showInputMessage="1" showErrorMessage="1" sqref="D67" xr:uid="{00000000-0002-0000-0100-000002000000}">
      <formula1>INDIRECT("FoundationType")</formula1>
    </dataValidation>
    <dataValidation type="list" allowBlank="1" showInputMessage="1" showErrorMessage="1" sqref="D66" xr:uid="{00000000-0002-0000-0100-000003000000}">
      <formula1>INDIRECT("Podium")</formula1>
    </dataValidation>
    <dataValidation type="list" allowBlank="1" showInputMessage="1" showErrorMessage="1" sqref="D64" xr:uid="{00000000-0002-0000-0100-000004000000}">
      <formula1>INDIRECT("PrimaryLateral")</formula1>
    </dataValidation>
    <dataValidation type="list" allowBlank="1" showInputMessage="1" showErrorMessage="1" sqref="D62" xr:uid="{00000000-0002-0000-0100-000005000000}">
      <formula1>INDIRECT("PrimaryVertical")</formula1>
    </dataValidation>
    <dataValidation type="list" allowBlank="1" showInputMessage="1" showErrorMessage="1" sqref="D60" xr:uid="{00000000-0002-0000-0100-000006000000}">
      <formula1>INDIRECT("PrimaryHorizontal")</formula1>
    </dataValidation>
    <dataValidation type="list" allowBlank="1" showInputMessage="1" showErrorMessage="1" sqref="D48" xr:uid="{00000000-0002-0000-0100-000007000000}">
      <formula1>INDIRECT("ParkingType")</formula1>
    </dataValidation>
    <dataValidation type="list" allowBlank="1" showInputMessage="1" showErrorMessage="1" sqref="G39 G44 G51 D79:G79 D38" xr:uid="{00000000-0002-0000-0100-000008000000}">
      <formula1>INDIRECT("ConstructionType")</formula1>
    </dataValidation>
    <dataValidation type="list" allowBlank="1" showInputMessage="1" showErrorMessage="1" sqref="D62 D64 D66:D67 D60 D56:G56" xr:uid="{00000000-0002-0000-0100-000009000000}">
      <formula1>INDIRECT("BiogenicInclusion")</formula1>
    </dataValidation>
    <dataValidation type="list" allowBlank="1" showInputMessage="1" showErrorMessage="1" sqref="D69" xr:uid="{00000000-0002-0000-0100-00000A000000}">
      <formula1>INDIRECT("SeismicDesignCategory")</formula1>
    </dataValidation>
    <dataValidation type="list" allowBlank="1" showInputMessage="1" showErrorMessage="1" sqref="D71" xr:uid="{00000000-0002-0000-0100-00000B000000}">
      <formula1>INDIRECT("SeismicSiteClass")</formula1>
    </dataValidation>
    <dataValidation type="list" allowBlank="1" showInputMessage="1" showErrorMessage="1" sqref="D70" xr:uid="{00000000-0002-0000-0100-00000C000000}">
      <formula1>INDIRECT("RiskCategory")</formula1>
    </dataValidation>
    <dataValidation type="list" allowBlank="1" showInputMessage="1" showErrorMessage="1" sqref="D33" xr:uid="{00000000-0002-0000-0100-00000D000000}">
      <formula1>INDIRECT("DrawingSet")</formula1>
    </dataValidation>
    <dataValidation type="list" allowBlank="1" showInputMessage="1" showErrorMessage="1" sqref="D79:G79 G39 G44 G51 D48 D38" xr:uid="{00000000-0002-0000-0100-00000E000000}">
      <formula1>INDIRECT("SecondaryBuildingUse")</formula1>
    </dataValidation>
    <dataValidation type="list" allowBlank="1" showInputMessage="1" showErrorMessage="1" sqref="D13" xr:uid="{00000000-0002-0000-0100-00000F000000}">
      <formula1>INDIRECT("ProvinceState")</formula1>
    </dataValidation>
    <dataValidation type="decimal" operator="greaterThanOrEqual" allowBlank="1" showInputMessage="1" showErrorMessage="1" error="The number of floors above grade should be equal or more than 1." sqref="D46:F46 D18:F18 D49:F49" xr:uid="{00000000-0002-0000-0100-000010000000}">
      <formula1>1</formula1>
    </dataValidation>
    <dataValidation type="date" operator="greaterThan" allowBlank="1" showInputMessage="1" showErrorMessage="1" errorTitle="BP Application Date" error="The date must be reported in the following format: YYYY-MM-DD" sqref="D19:F19" xr:uid="{00000000-0002-0000-0100-000012000000}">
      <formula1>36526</formula1>
    </dataValidation>
  </dataValidations>
  <pageMargins left="0.7" right="0.7" top="0.75" bottom="0.75" header="0.3" footer="0.3"/>
  <pageSetup orientation="portrait" r:id="rId1"/>
  <rowBreaks count="2" manualBreakCount="2">
    <brk id="22" max="16383" man="1"/>
    <brk id="55"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3" id="{D4752FE8-1BF5-470B-B4F1-769FA68E440F}">
            <xm:f>NOT(#REF!='Backend (to be hidden)'!$BR$3)</xm:f>
            <x14:dxf>
              <font>
                <color theme="0" tint="-0.14996795556505021"/>
              </font>
            </x14:dxf>
          </x14:cfRule>
          <xm:sqref>C24 C57</xm:sqref>
        </x14:conditionalFormatting>
        <x14:conditionalFormatting xmlns:xm="http://schemas.microsoft.com/office/excel/2006/main">
          <x14:cfRule type="expression" priority="46" id="{8DE50F17-1991-40F2-910E-5D339D566593}">
            <xm:f>NOT(OR($D$34='Backend (to be hidden)'!$M$9,$D$36='Backend (to be hidden)'!$M$9))</xm:f>
            <x14:dxf>
              <font>
                <color theme="0" tint="-0.14996795556505021"/>
              </font>
              <fill>
                <patternFill>
                  <bgColor theme="0" tint="-0.14996795556505021"/>
                </patternFill>
              </fill>
              <border>
                <left/>
                <right/>
                <top/>
                <bottom/>
                <vertical/>
                <horizontal/>
              </border>
            </x14:dxf>
          </x14:cfRule>
          <xm:sqref>C52:F54</xm:sqref>
        </x14:conditionalFormatting>
        <x14:conditionalFormatting xmlns:xm="http://schemas.microsoft.com/office/excel/2006/main">
          <x14:cfRule type="expression" priority="54" id="{AED7CFEF-6487-4DA4-9A89-EFCA68C84279}">
            <xm:f>NOT($D$58='Backend (to be hidden)'!$U$10)</xm:f>
            <x14:dxf>
              <font>
                <color theme="0" tint="-0.14996795556505021"/>
              </font>
              <fill>
                <patternFill>
                  <bgColor theme="0" tint="-0.14996795556505021"/>
                </patternFill>
              </fill>
              <border>
                <left style="thin">
                  <color theme="0" tint="-0.14996795556505021"/>
                </left>
                <right style="thin">
                  <color theme="0" tint="-0.14996795556505021"/>
                </right>
                <vertical/>
                <horizontal/>
              </border>
            </x14:dxf>
          </x14:cfRule>
          <xm:sqref>C59:F59</xm:sqref>
        </x14:conditionalFormatting>
        <x14:conditionalFormatting xmlns:xm="http://schemas.microsoft.com/office/excel/2006/main">
          <x14:cfRule type="expression" priority="53" id="{4EEB01C4-0DBC-4528-8AC9-BE71B026ED2A}">
            <xm:f>NOT(OR($D$60='Backend (to be hidden)'!$W$5,$D$60='Backend (to be hidden)'!$W$8,$D$60='Backend (to be hidden)'!$W$11,$D$60='Backend (to be hidden)'!$W$12))</xm:f>
            <x14:dxf>
              <font>
                <color theme="0" tint="-0.14996795556505021"/>
              </font>
              <fill>
                <patternFill>
                  <bgColor theme="0" tint="-0.14996795556505021"/>
                </patternFill>
              </fill>
              <border>
                <left style="thin">
                  <color theme="0" tint="-0.14996795556505021"/>
                </left>
                <right style="thin">
                  <color theme="0" tint="-0.14996795556505021"/>
                </right>
                <vertical/>
                <horizontal/>
              </border>
            </x14:dxf>
          </x14:cfRule>
          <xm:sqref>C61:F61</xm:sqref>
        </x14:conditionalFormatting>
        <x14:conditionalFormatting xmlns:xm="http://schemas.microsoft.com/office/excel/2006/main">
          <x14:cfRule type="expression" priority="52" id="{B13D89EC-FA60-44E3-B441-58C31209A124}">
            <xm:f>NOT(OR($D$62='Backend (to be hidden)'!$Z$4,$D$62='Backend (to be hidden)'!$Z$7,$D$62='Backend (to be hidden)'!$Z$10,$D$62='Backend (to be hidden)'!$Z$12))</xm:f>
            <x14:dxf>
              <font>
                <color theme="0" tint="-0.14996795556505021"/>
              </font>
              <fill>
                <patternFill>
                  <bgColor theme="0" tint="-0.14996795556505021"/>
                </patternFill>
              </fill>
              <border>
                <left style="thin">
                  <color theme="0" tint="-0.14996795556505021"/>
                </left>
                <right/>
              </border>
            </x14:dxf>
          </x14:cfRule>
          <xm:sqref>C63:F63</xm:sqref>
        </x14:conditionalFormatting>
        <x14:conditionalFormatting xmlns:xm="http://schemas.microsoft.com/office/excel/2006/main">
          <x14:cfRule type="expression" priority="51" id="{4228D4FC-862D-4D9D-92F8-BD394C259496}">
            <xm:f>NOT(OR($D$64='Backend (to be hidden)'!$AC$4,$D$64='Backend (to be hidden)'!$AC$7,$D$64='Backend (to be hidden)'!$AC$11,$D$64='Backend (to be hidden)'!$AC$12))</xm:f>
            <x14:dxf>
              <font>
                <color theme="0" tint="-0.14996795556505021"/>
              </font>
              <fill>
                <patternFill>
                  <bgColor theme="0" tint="-0.14996795556505021"/>
                </patternFill>
              </fill>
              <border>
                <left style="thin">
                  <color theme="0" tint="-0.14996795556505021"/>
                </left>
                <right style="thin">
                  <color theme="0" tint="-0.14996795556505021"/>
                </right>
                <vertical/>
                <horizontal/>
              </border>
            </x14:dxf>
          </x14:cfRule>
          <xm:sqref>C65:F65</xm:sqref>
        </x14:conditionalFormatting>
        <x14:conditionalFormatting xmlns:xm="http://schemas.microsoft.com/office/excel/2006/main">
          <x14:cfRule type="expression" priority="50" id="{B41AFA1E-45DF-43B5-ABE0-757DF1576A65}">
            <xm:f>NOT($D$67='Backend (to be hidden)'!$AI$5)</xm:f>
            <x14:dxf>
              <font>
                <color theme="0" tint="-0.14996795556505021"/>
              </font>
              <fill>
                <patternFill>
                  <bgColor theme="0" tint="-0.14996795556505021"/>
                </patternFill>
              </fill>
              <border>
                <left style="thin">
                  <color theme="0" tint="-0.14996795556505021"/>
                </left>
                <right style="thin">
                  <color theme="0" tint="-0.14996795556505021"/>
                </right>
                <vertical/>
                <horizontal/>
              </border>
            </x14:dxf>
          </x14:cfRule>
          <xm:sqref>C68:F68</xm:sqref>
        </x14:conditionalFormatting>
        <x14:conditionalFormatting xmlns:xm="http://schemas.microsoft.com/office/excel/2006/main">
          <x14:cfRule type="expression" priority="26" id="{98CC896E-D352-4FC6-9A14-173923C8A2E7}">
            <xm:f>$D$30='Backend (to be hidden)'!$F$2</xm:f>
            <x14:dxf>
              <fill>
                <patternFill>
                  <bgColor theme="8" tint="0.79998168889431442"/>
                </patternFill>
              </fill>
            </x14:dxf>
          </x14:cfRule>
          <xm:sqref>D50:F50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100-000011000000}">
          <x14:formula1>
            <xm:f>'Backend (to be hidden)'!$F$2:$F$6</xm:f>
          </x14:formula1>
          <xm:sqref>D30:F30</xm:sqref>
        </x14:dataValidation>
        <x14:dataValidation type="list" allowBlank="1" showInputMessage="1" showErrorMessage="1" xr:uid="{00000000-0002-0000-0100-000014000000}">
          <x14:formula1>
            <xm:f>'Backend (to be hidden)'!$U$2:$U$10</xm:f>
          </x14:formula1>
          <xm:sqref>D58</xm:sqref>
        </x14:dataValidation>
        <x14:dataValidation type="list" allowBlank="1" showInputMessage="1" showErrorMessage="1" xr:uid="{00000000-0002-0000-0100-000015000000}">
          <x14:formula1>
            <xm:f>'Backend (to be hidden)'!$AM$2:$AM$5</xm:f>
          </x14:formula1>
          <xm:sqref>D70</xm:sqref>
        </x14:dataValidation>
        <x14:dataValidation type="list" allowBlank="1" showInputMessage="1" showErrorMessage="1" xr:uid="{00000000-0002-0000-0100-000016000000}">
          <x14:formula1>
            <xm:f>'Backend (to be hidden)'!$AO$2:$AO$7</xm:f>
          </x14:formula1>
          <xm:sqref>D71</xm:sqref>
        </x14:dataValidation>
        <x14:dataValidation type="list" allowBlank="1" showInputMessage="1" showErrorMessage="1" xr:uid="{00000000-0002-0000-0100-000017000000}">
          <x14:formula1>
            <xm:f>'Backend (to be hidden)'!$AR$2:$AR$7</xm:f>
          </x14:formula1>
          <xm:sqref>D69</xm:sqref>
        </x14:dataValidation>
        <x14:dataValidation type="list" allowBlank="1" showInputMessage="1" showErrorMessage="1" xr:uid="{57EBA1AD-CA05-40CD-A717-B4F16B017B02}">
          <x14:formula1>
            <xm:f>'Backend (to be hidden)'!$G$2:$G$6</xm:f>
          </x14:formula1>
          <xm:sqref>D31:F31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N226"/>
  <sheetViews>
    <sheetView workbookViewId="0">
      <selection activeCell="D10" sqref="D10:F10"/>
    </sheetView>
  </sheetViews>
  <sheetFormatPr defaultColWidth="0" defaultRowHeight="15" zeroHeight="1"/>
  <cols>
    <col min="1" max="1" width="0.7109375" style="28" customWidth="1"/>
    <col min="2" max="2" width="0.7109375" style="197" customWidth="1"/>
    <col min="3" max="3" width="57.7109375" style="197" customWidth="1"/>
    <col min="4" max="4" width="13.7109375" style="197" customWidth="1"/>
    <col min="5" max="5" width="1.7109375" style="197" customWidth="1"/>
    <col min="6" max="6" width="13.7109375" style="197" customWidth="1"/>
    <col min="7" max="7" width="1.7109375" style="28" customWidth="1"/>
    <col min="8" max="8" width="20.7109375" style="30" customWidth="1"/>
    <col min="9" max="10" width="20.7109375" style="28" customWidth="1"/>
    <col min="11" max="14" width="0" style="28" hidden="1" customWidth="1"/>
    <col min="15" max="16384" width="10.7109375" style="28" hidden="1"/>
  </cols>
  <sheetData>
    <row r="1" spans="1:14" s="33" customFormat="1" ht="6" customHeight="1" thickBot="1">
      <c r="A1" s="29"/>
      <c r="B1" s="29"/>
      <c r="C1" s="29"/>
      <c r="D1" s="29"/>
      <c r="E1" s="29"/>
      <c r="F1" s="29"/>
      <c r="G1" s="29"/>
      <c r="H1" s="30"/>
    </row>
    <row r="2" spans="1:14" s="33" customFormat="1" ht="30.75" customHeight="1">
      <c r="A2" s="29"/>
      <c r="B2" s="31"/>
      <c r="C2" s="758" t="s">
        <v>218</v>
      </c>
      <c r="D2" s="758"/>
      <c r="E2" s="758"/>
      <c r="F2" s="758"/>
      <c r="G2" s="759"/>
      <c r="H2" s="17"/>
      <c r="I2" s="4"/>
      <c r="J2" s="4"/>
      <c r="K2" s="32"/>
      <c r="L2" s="32"/>
      <c r="M2" s="32"/>
      <c r="N2" s="32"/>
    </row>
    <row r="3" spans="1:14" s="33" customFormat="1" ht="15" customHeight="1">
      <c r="A3" s="29"/>
      <c r="B3" s="34"/>
      <c r="C3" s="133"/>
      <c r="D3" s="133"/>
      <c r="E3" s="133"/>
      <c r="F3" s="36" t="s">
        <v>545</v>
      </c>
      <c r="G3" s="134"/>
      <c r="H3" s="19"/>
      <c r="I3" s="4"/>
      <c r="J3" s="4"/>
      <c r="K3" s="32"/>
      <c r="L3" s="32"/>
      <c r="M3" s="32"/>
      <c r="N3" s="32"/>
    </row>
    <row r="4" spans="1:14" s="33" customFormat="1" ht="20.100000000000001" customHeight="1">
      <c r="A4" s="29"/>
      <c r="B4" s="39"/>
      <c r="C4" s="205" t="s">
        <v>507</v>
      </c>
      <c r="D4" s="40"/>
      <c r="E4" s="40"/>
      <c r="F4" s="219" t="s">
        <v>1611</v>
      </c>
      <c r="G4" s="42"/>
      <c r="H4" s="19"/>
      <c r="I4" s="4"/>
      <c r="J4" s="4"/>
      <c r="K4" s="32"/>
      <c r="L4" s="32"/>
      <c r="M4" s="32"/>
      <c r="N4" s="32"/>
    </row>
    <row r="5" spans="1:14" ht="6" customHeight="1" thickBot="1">
      <c r="A5" s="29"/>
      <c r="B5" s="43"/>
      <c r="C5" s="44"/>
      <c r="D5" s="45"/>
      <c r="E5" s="45"/>
      <c r="F5" s="45"/>
      <c r="G5" s="46"/>
      <c r="H5" s="19"/>
      <c r="I5" s="6"/>
      <c r="J5" s="6"/>
    </row>
    <row r="6" spans="1:14" s="33" customFormat="1" ht="15.75">
      <c r="A6" s="29"/>
      <c r="B6" s="136"/>
      <c r="C6" s="795" t="s">
        <v>0</v>
      </c>
      <c r="D6" s="795"/>
      <c r="E6" s="795"/>
      <c r="F6" s="795"/>
      <c r="G6" s="832"/>
      <c r="H6" s="17"/>
      <c r="I6" s="7"/>
      <c r="J6" s="7"/>
      <c r="K6" s="51"/>
      <c r="L6" s="51"/>
      <c r="M6" s="51"/>
      <c r="N6" s="51"/>
    </row>
    <row r="7" spans="1:14" s="33" customFormat="1" ht="151.5" customHeight="1">
      <c r="A7" s="29"/>
      <c r="B7" s="49"/>
      <c r="C7" s="760" t="s">
        <v>1416</v>
      </c>
      <c r="D7" s="760"/>
      <c r="E7" s="760"/>
      <c r="F7" s="760"/>
      <c r="G7" s="833"/>
      <c r="H7" s="209"/>
      <c r="I7" s="7"/>
      <c r="J7" s="7"/>
      <c r="K7" s="51"/>
      <c r="L7" s="51"/>
      <c r="M7" s="51"/>
      <c r="N7" s="51"/>
    </row>
    <row r="8" spans="1:14" ht="6" customHeight="1" thickBot="1">
      <c r="A8" s="29"/>
      <c r="B8" s="43"/>
      <c r="C8" s="138"/>
      <c r="D8" s="139"/>
      <c r="E8" s="139"/>
      <c r="F8" s="139"/>
      <c r="G8" s="140"/>
      <c r="H8" s="209"/>
      <c r="I8" s="6"/>
      <c r="J8" s="6"/>
    </row>
    <row r="9" spans="1:14" ht="15.75">
      <c r="A9" s="29"/>
      <c r="B9" s="185"/>
      <c r="C9" s="777" t="s">
        <v>68</v>
      </c>
      <c r="D9" s="777"/>
      <c r="E9" s="777"/>
      <c r="F9" s="777"/>
      <c r="G9" s="778"/>
      <c r="H9" s="209"/>
      <c r="I9" s="6"/>
      <c r="J9" s="6"/>
    </row>
    <row r="10" spans="1:14">
      <c r="A10" s="29"/>
      <c r="B10" s="165"/>
      <c r="C10" s="61" t="s">
        <v>69</v>
      </c>
      <c r="D10" s="812" t="s">
        <v>1617</v>
      </c>
      <c r="E10" s="813"/>
      <c r="F10" s="814"/>
      <c r="G10" s="155"/>
      <c r="H10" s="209"/>
      <c r="I10" s="6"/>
      <c r="J10" s="6"/>
    </row>
    <row r="11" spans="1:14">
      <c r="A11" s="29"/>
      <c r="B11" s="165"/>
      <c r="C11" s="61" t="s">
        <v>70</v>
      </c>
      <c r="D11" s="812" t="s">
        <v>1618</v>
      </c>
      <c r="E11" s="813"/>
      <c r="F11" s="814"/>
      <c r="G11" s="155"/>
      <c r="H11" s="209"/>
      <c r="I11" s="6"/>
      <c r="J11" s="6"/>
    </row>
    <row r="12" spans="1:14">
      <c r="A12" s="29"/>
      <c r="B12" s="207"/>
      <c r="C12" s="208" t="s">
        <v>517</v>
      </c>
      <c r="D12" s="831" t="s">
        <v>1619</v>
      </c>
      <c r="E12" s="813"/>
      <c r="F12" s="814"/>
      <c r="G12" s="155"/>
      <c r="H12" s="209"/>
      <c r="I12" s="6"/>
      <c r="J12" s="6"/>
    </row>
    <row r="13" spans="1:14">
      <c r="A13" s="29"/>
      <c r="B13" s="141"/>
      <c r="C13" s="144" t="s">
        <v>71</v>
      </c>
      <c r="D13" s="812" t="s">
        <v>295</v>
      </c>
      <c r="E13" s="813"/>
      <c r="F13" s="814"/>
      <c r="G13" s="155"/>
      <c r="H13" s="209"/>
      <c r="I13" s="6"/>
      <c r="J13" s="8"/>
    </row>
    <row r="14" spans="1:14">
      <c r="A14" s="29"/>
      <c r="B14" s="141"/>
      <c r="C14" s="186" t="s">
        <v>53</v>
      </c>
      <c r="D14" s="773"/>
      <c r="E14" s="774"/>
      <c r="F14" s="775"/>
      <c r="G14" s="155"/>
      <c r="H14" s="209"/>
      <c r="I14" s="6"/>
      <c r="J14" s="8"/>
    </row>
    <row r="15" spans="1:14">
      <c r="A15" s="29"/>
      <c r="B15" s="141"/>
      <c r="C15" s="144" t="s">
        <v>428</v>
      </c>
      <c r="D15" s="773"/>
      <c r="E15" s="774"/>
      <c r="F15" s="775"/>
      <c r="G15" s="155"/>
      <c r="H15" s="19"/>
      <c r="I15" s="6"/>
      <c r="J15" s="8"/>
    </row>
    <row r="16" spans="1:14">
      <c r="A16" s="29"/>
      <c r="B16" s="141"/>
      <c r="C16" s="186" t="s">
        <v>53</v>
      </c>
      <c r="D16" s="773"/>
      <c r="E16" s="774"/>
      <c r="F16" s="775"/>
      <c r="G16" s="155"/>
      <c r="H16" s="19"/>
      <c r="I16" s="6"/>
      <c r="J16" s="8"/>
    </row>
    <row r="17" spans="1:10">
      <c r="A17" s="29"/>
      <c r="B17" s="141"/>
      <c r="C17" s="513" t="s">
        <v>1275</v>
      </c>
      <c r="D17" s="812" t="s">
        <v>1274</v>
      </c>
      <c r="E17" s="813"/>
      <c r="F17" s="814"/>
      <c r="G17" s="155"/>
      <c r="H17" s="209"/>
      <c r="I17" s="6"/>
      <c r="J17" s="8"/>
    </row>
    <row r="18" spans="1:10">
      <c r="A18" s="29"/>
      <c r="B18" s="168"/>
      <c r="C18" s="560" t="s">
        <v>87</v>
      </c>
      <c r="D18" s="761" t="s">
        <v>1413</v>
      </c>
      <c r="E18" s="762"/>
      <c r="F18" s="763"/>
      <c r="G18" s="155"/>
      <c r="H18" s="209"/>
      <c r="I18" s="6"/>
      <c r="J18" s="6"/>
    </row>
    <row r="19" spans="1:10">
      <c r="A19" s="29"/>
      <c r="B19" s="141"/>
      <c r="C19" s="144" t="s">
        <v>72</v>
      </c>
      <c r="D19" s="812" t="s">
        <v>254</v>
      </c>
      <c r="E19" s="813"/>
      <c r="F19" s="814"/>
      <c r="G19" s="155"/>
      <c r="H19" s="209"/>
      <c r="I19" s="6"/>
      <c r="J19" s="6"/>
    </row>
    <row r="20" spans="1:10">
      <c r="A20" s="29"/>
      <c r="B20" s="141"/>
      <c r="C20" s="507" t="s">
        <v>1350</v>
      </c>
      <c r="D20" s="809" t="s">
        <v>1048</v>
      </c>
      <c r="E20" s="810"/>
      <c r="F20" s="811"/>
      <c r="G20" s="155"/>
      <c r="H20" s="209"/>
      <c r="I20" s="6"/>
      <c r="J20" s="6"/>
    </row>
    <row r="21" spans="1:10">
      <c r="A21" s="29"/>
      <c r="B21" s="168"/>
      <c r="C21" s="186" t="s">
        <v>73</v>
      </c>
      <c r="D21" s="812"/>
      <c r="E21" s="813"/>
      <c r="F21" s="814"/>
      <c r="G21" s="60"/>
      <c r="H21" s="6"/>
      <c r="I21" s="6"/>
      <c r="J21" s="6"/>
    </row>
    <row r="22" spans="1:10">
      <c r="A22" s="29"/>
      <c r="B22" s="168"/>
      <c r="C22" s="142" t="s">
        <v>74</v>
      </c>
      <c r="D22" s="812"/>
      <c r="E22" s="813"/>
      <c r="F22" s="814"/>
      <c r="G22" s="60"/>
      <c r="H22" s="17"/>
      <c r="I22" s="6"/>
      <c r="J22" s="6"/>
    </row>
    <row r="23" spans="1:10" ht="81.75" customHeight="1">
      <c r="A23" s="29"/>
      <c r="B23" s="168"/>
      <c r="C23" s="830" t="str">
        <f>IF($D$19='Backend (to be hidden)'!$BJ$6, CONCATENATE('Backend (to be hidden)'!$BJ$14),IF($D$19='Backend (to be hidden)'!$BJ$3,CONCATENATE('Backend (to be hidden)'!$BJ$15),IF($D$19="Other",'Backend (to be hidden)'!$BJ$16,"")))</f>
        <v/>
      </c>
      <c r="D23" s="830"/>
      <c r="E23" s="830"/>
      <c r="F23" s="830"/>
      <c r="G23" s="60"/>
      <c r="H23" s="248"/>
      <c r="I23" s="6"/>
      <c r="J23" s="6"/>
    </row>
    <row r="24" spans="1:10">
      <c r="A24" s="29"/>
      <c r="B24" s="141"/>
      <c r="C24" s="144" t="s">
        <v>443</v>
      </c>
      <c r="D24" s="773"/>
      <c r="E24" s="774"/>
      <c r="F24" s="775"/>
      <c r="G24" s="155"/>
      <c r="H24" s="209"/>
      <c r="I24" s="6"/>
      <c r="J24" s="6"/>
    </row>
    <row r="25" spans="1:10">
      <c r="A25" s="29"/>
      <c r="B25" s="168"/>
      <c r="C25" s="186" t="s">
        <v>442</v>
      </c>
      <c r="D25" s="812"/>
      <c r="E25" s="813"/>
      <c r="F25" s="814"/>
      <c r="G25" s="60"/>
      <c r="H25" s="17"/>
      <c r="I25" s="6"/>
      <c r="J25" s="6"/>
    </row>
    <row r="26" spans="1:10" ht="6" customHeight="1" thickBot="1">
      <c r="A26" s="29"/>
      <c r="B26" s="43"/>
      <c r="C26" s="138"/>
      <c r="D26" s="139"/>
      <c r="E26" s="139"/>
      <c r="F26" s="139"/>
      <c r="G26" s="140"/>
      <c r="H26" s="17"/>
      <c r="I26" s="6"/>
      <c r="J26" s="6"/>
    </row>
    <row r="27" spans="1:10" ht="15.75">
      <c r="A27" s="29"/>
      <c r="B27" s="531"/>
      <c r="C27" s="837" t="s">
        <v>76</v>
      </c>
      <c r="D27" s="837"/>
      <c r="E27" s="837"/>
      <c r="F27" s="837"/>
      <c r="G27" s="838"/>
      <c r="H27" s="6"/>
      <c r="I27" s="529"/>
      <c r="J27" s="529"/>
    </row>
    <row r="28" spans="1:10">
      <c r="A28" s="29"/>
      <c r="B28" s="532"/>
      <c r="C28" s="262" t="s">
        <v>1380</v>
      </c>
      <c r="D28" s="756">
        <v>60</v>
      </c>
      <c r="E28" s="793"/>
      <c r="F28" s="757"/>
      <c r="G28" s="528"/>
      <c r="H28" s="530"/>
      <c r="I28" s="529"/>
      <c r="J28" s="529"/>
    </row>
    <row r="29" spans="1:10" ht="6" customHeight="1" thickBot="1">
      <c r="A29" s="29"/>
      <c r="B29" s="575"/>
      <c r="C29" s="475"/>
      <c r="D29" s="476"/>
      <c r="E29" s="476"/>
      <c r="F29" s="476"/>
      <c r="G29" s="576"/>
      <c r="H29" s="530"/>
      <c r="I29" s="529"/>
      <c r="J29" s="529"/>
    </row>
    <row r="30" spans="1:10" ht="20.100000000000001" customHeight="1">
      <c r="A30" s="29"/>
      <c r="B30" s="185"/>
      <c r="C30" s="835" t="s">
        <v>77</v>
      </c>
      <c r="D30" s="835"/>
      <c r="E30" s="835"/>
      <c r="F30" s="835"/>
      <c r="G30" s="836"/>
      <c r="H30" s="530"/>
      <c r="I30" s="529"/>
      <c r="J30" s="529"/>
    </row>
    <row r="31" spans="1:10" ht="6" customHeight="1">
      <c r="A31" s="29"/>
      <c r="B31" s="52"/>
      <c r="C31" s="566"/>
      <c r="D31" s="566"/>
      <c r="E31" s="566"/>
      <c r="F31" s="566"/>
      <c r="G31" s="155"/>
      <c r="H31" s="530"/>
      <c r="I31" s="529"/>
      <c r="J31" s="529"/>
    </row>
    <row r="32" spans="1:10" ht="27" customHeight="1">
      <c r="A32" s="29"/>
      <c r="B32" s="52"/>
      <c r="C32" s="801" t="s">
        <v>432</v>
      </c>
      <c r="D32" s="801"/>
      <c r="E32" s="801"/>
      <c r="F32" s="801"/>
      <c r="G32" s="155"/>
      <c r="H32" s="530"/>
      <c r="I32" s="529"/>
      <c r="J32" s="529"/>
    </row>
    <row r="33" spans="1:10" ht="61.5" customHeight="1">
      <c r="A33" s="29"/>
      <c r="B33" s="52"/>
      <c r="C33" s="829" t="s">
        <v>1472</v>
      </c>
      <c r="D33" s="829"/>
      <c r="E33" s="829"/>
      <c r="F33" s="829"/>
      <c r="G33" s="155"/>
      <c r="H33" s="802"/>
      <c r="I33" s="800"/>
      <c r="J33" s="800"/>
    </row>
    <row r="34" spans="1:10" ht="15.75">
      <c r="A34" s="29"/>
      <c r="B34" s="52"/>
      <c r="C34" s="566"/>
      <c r="D34" s="187" t="s">
        <v>78</v>
      </c>
      <c r="E34" s="334"/>
      <c r="F34" s="187" t="s">
        <v>79</v>
      </c>
      <c r="G34" s="155"/>
      <c r="H34" s="17"/>
      <c r="I34" s="6"/>
      <c r="J34" s="6"/>
    </row>
    <row r="35" spans="1:10">
      <c r="A35" s="29"/>
      <c r="B35" s="141"/>
      <c r="C35" s="262" t="s">
        <v>434</v>
      </c>
      <c r="D35" s="188" t="s">
        <v>81</v>
      </c>
      <c r="E35" s="334"/>
      <c r="F35" s="188" t="s">
        <v>81</v>
      </c>
      <c r="G35" s="155"/>
      <c r="H35" s="17"/>
      <c r="I35" s="6"/>
      <c r="J35" s="6"/>
    </row>
    <row r="36" spans="1:10">
      <c r="A36" s="29"/>
      <c r="B36" s="141"/>
      <c r="C36" s="262" t="s">
        <v>435</v>
      </c>
      <c r="D36" s="563" t="str">
        <f>IF(OR($D$19="",$D$19='Backend (to be hidden)'!$BJ$11),"",VLOOKUP($D$19,'Backend (to be hidden)'!$BJ$1:$BN$11,2,FALSE))</f>
        <v>Yes</v>
      </c>
      <c r="E36" s="334"/>
      <c r="F36" s="188" t="s">
        <v>81</v>
      </c>
      <c r="G36" s="155"/>
      <c r="H36" s="506"/>
      <c r="I36" s="252"/>
      <c r="J36" s="6"/>
    </row>
    <row r="37" spans="1:10">
      <c r="A37" s="29"/>
      <c r="B37" s="141"/>
      <c r="C37" s="262" t="s">
        <v>438</v>
      </c>
      <c r="D37" s="563" t="str">
        <f>IF(OR($D$19="",$D$19='Backend (to be hidden)'!$BJ$11),"",VLOOKUP($D$19,'Backend (to be hidden)'!$BJ$1:$BN$11,3,FALSE))</f>
        <v>Yes</v>
      </c>
      <c r="E37" s="334"/>
      <c r="F37" s="188" t="s">
        <v>81</v>
      </c>
      <c r="G37" s="155"/>
      <c r="H37" s="209"/>
      <c r="I37" s="6"/>
      <c r="J37" s="6"/>
    </row>
    <row r="38" spans="1:10">
      <c r="A38" s="29"/>
      <c r="B38" s="141"/>
      <c r="C38" s="262" t="s">
        <v>436</v>
      </c>
      <c r="D38" s="563" t="str">
        <f>IF(OR($D$19="",$D$19='Backend (to be hidden)'!$BJ$11),"",VLOOKUP($D$19,'Backend (to be hidden)'!$BJ$1:$BN$11,4,FALSE))</f>
        <v>Yes</v>
      </c>
      <c r="E38" s="334"/>
      <c r="F38" s="188" t="s">
        <v>81</v>
      </c>
      <c r="G38" s="155"/>
      <c r="H38" s="17"/>
      <c r="I38" s="6"/>
      <c r="J38" s="6"/>
    </row>
    <row r="39" spans="1:10">
      <c r="A39" s="29"/>
      <c r="B39" s="141"/>
      <c r="C39" s="262" t="s">
        <v>437</v>
      </c>
      <c r="D39" s="563" t="str">
        <f>IF(OR($D$19="",$D$19='Backend (to be hidden)'!$BJ$11),"",VLOOKUP($D$19,'Backend (to be hidden)'!$BJ$1:$BN$11,5,FALSE))</f>
        <v>Yes</v>
      </c>
      <c r="E39" s="334"/>
      <c r="F39" s="188" t="s">
        <v>81</v>
      </c>
      <c r="G39" s="155"/>
      <c r="H39" s="17"/>
      <c r="I39" s="6"/>
      <c r="J39" s="6"/>
    </row>
    <row r="40" spans="1:10">
      <c r="A40" s="29"/>
      <c r="B40" s="141"/>
      <c r="C40" s="262" t="s">
        <v>84</v>
      </c>
      <c r="D40" s="9"/>
      <c r="E40" s="334"/>
      <c r="F40" s="188" t="s">
        <v>75</v>
      </c>
      <c r="G40" s="155"/>
      <c r="H40" s="17"/>
      <c r="I40" s="6"/>
      <c r="J40" s="6"/>
    </row>
    <row r="41" spans="1:10" ht="6.75" customHeight="1" thickBot="1">
      <c r="A41" s="29"/>
      <c r="B41" s="55"/>
      <c r="C41" s="56"/>
      <c r="D41" s="56"/>
      <c r="E41" s="56"/>
      <c r="F41" s="56"/>
      <c r="G41" s="161"/>
      <c r="H41" s="17"/>
      <c r="I41" s="6"/>
      <c r="J41" s="6"/>
    </row>
    <row r="42" spans="1:10" ht="15.75">
      <c r="A42" s="29"/>
      <c r="B42" s="52"/>
      <c r="C42" s="839" t="s">
        <v>423</v>
      </c>
      <c r="D42" s="839"/>
      <c r="E42" s="839"/>
      <c r="F42" s="839"/>
      <c r="G42" s="840"/>
      <c r="H42" s="17"/>
      <c r="I42" s="6"/>
      <c r="J42" s="6"/>
    </row>
    <row r="43" spans="1:10" ht="6" customHeight="1">
      <c r="A43" s="29"/>
      <c r="B43" s="52"/>
      <c r="C43" s="47"/>
      <c r="D43" s="47"/>
      <c r="E43" s="47"/>
      <c r="F43" s="47"/>
      <c r="G43" s="155"/>
      <c r="H43" s="17"/>
      <c r="I43" s="6"/>
      <c r="J43" s="6"/>
    </row>
    <row r="44" spans="1:10" ht="30.75" customHeight="1">
      <c r="A44" s="29"/>
      <c r="B44" s="52"/>
      <c r="C44" s="807" t="s">
        <v>1343</v>
      </c>
      <c r="D44" s="808"/>
      <c r="E44" s="808"/>
      <c r="F44" s="808"/>
      <c r="G44" s="155"/>
      <c r="H44" s="209"/>
      <c r="I44" s="6"/>
      <c r="J44" s="6"/>
    </row>
    <row r="45" spans="1:10" ht="15.75">
      <c r="A45" s="29"/>
      <c r="B45" s="52"/>
      <c r="C45" s="803" t="s">
        <v>458</v>
      </c>
      <c r="D45" s="803"/>
      <c r="E45" s="803"/>
      <c r="F45" s="803"/>
      <c r="G45" s="155"/>
      <c r="H45" s="19"/>
      <c r="I45" s="6"/>
      <c r="J45" s="6"/>
    </row>
    <row r="46" spans="1:10" ht="6" customHeight="1">
      <c r="A46" s="29"/>
      <c r="B46" s="52"/>
      <c r="C46" s="47"/>
      <c r="D46" s="47"/>
      <c r="E46" s="47"/>
      <c r="F46" s="47"/>
      <c r="G46" s="155"/>
      <c r="H46" s="19"/>
      <c r="I46" s="6"/>
      <c r="J46" s="6"/>
    </row>
    <row r="47" spans="1:10" ht="15.75">
      <c r="A47" s="29"/>
      <c r="B47" s="52"/>
      <c r="C47" s="189"/>
      <c r="D47" s="190" t="s">
        <v>78</v>
      </c>
      <c r="E47" s="59"/>
      <c r="F47" s="191" t="s">
        <v>79</v>
      </c>
      <c r="G47" s="155"/>
      <c r="H47" s="19"/>
      <c r="I47" s="6"/>
      <c r="J47" s="6"/>
    </row>
    <row r="48" spans="1:10">
      <c r="A48" s="29"/>
      <c r="B48" s="141"/>
      <c r="C48" s="192" t="s">
        <v>452</v>
      </c>
      <c r="D48" s="188" t="s">
        <v>81</v>
      </c>
      <c r="E48" s="59"/>
      <c r="F48" s="188" t="s">
        <v>81</v>
      </c>
      <c r="G48" s="155"/>
      <c r="H48" s="19"/>
      <c r="I48" s="6"/>
      <c r="J48" s="6"/>
    </row>
    <row r="49" spans="1:10">
      <c r="A49" s="29"/>
      <c r="B49" s="141"/>
      <c r="C49" s="144" t="s">
        <v>453</v>
      </c>
      <c r="D49" s="188" t="s">
        <v>81</v>
      </c>
      <c r="E49" s="59"/>
      <c r="F49" s="188" t="s">
        <v>81</v>
      </c>
      <c r="G49" s="155"/>
      <c r="H49" s="19"/>
      <c r="I49" s="6"/>
      <c r="J49" s="6"/>
    </row>
    <row r="50" spans="1:10" ht="6" customHeight="1">
      <c r="A50" s="29"/>
      <c r="B50" s="52"/>
      <c r="C50" s="47"/>
      <c r="D50" s="47"/>
      <c r="E50" s="47"/>
      <c r="F50" s="47"/>
      <c r="G50" s="155"/>
      <c r="H50" s="19"/>
      <c r="I50" s="6"/>
      <c r="J50" s="6"/>
    </row>
    <row r="51" spans="1:10" ht="26.25" customHeight="1">
      <c r="A51" s="29"/>
      <c r="B51" s="141"/>
      <c r="C51" s="823" t="s">
        <v>483</v>
      </c>
      <c r="D51" s="823"/>
      <c r="E51" s="824"/>
      <c r="F51" s="10" t="s">
        <v>75</v>
      </c>
      <c r="G51" s="155"/>
      <c r="H51" s="209"/>
      <c r="I51" s="6"/>
      <c r="J51" s="6"/>
    </row>
    <row r="52" spans="1:10" ht="3" customHeight="1">
      <c r="A52" s="29"/>
      <c r="B52" s="141"/>
      <c r="C52" s="193"/>
      <c r="D52" s="193"/>
      <c r="E52" s="193"/>
      <c r="F52" s="193"/>
      <c r="G52" s="155"/>
      <c r="H52" s="19"/>
      <c r="I52" s="6"/>
      <c r="J52" s="6"/>
    </row>
    <row r="53" spans="1:10" ht="33" customHeight="1">
      <c r="A53" s="29"/>
      <c r="B53" s="167"/>
      <c r="C53" s="806" t="s">
        <v>465</v>
      </c>
      <c r="D53" s="806"/>
      <c r="E53" s="806"/>
      <c r="F53" s="806"/>
      <c r="G53" s="155"/>
      <c r="H53" s="19"/>
      <c r="I53" s="6"/>
      <c r="J53" s="6"/>
    </row>
    <row r="54" spans="1:10" ht="75" customHeight="1">
      <c r="A54" s="29"/>
      <c r="B54" s="168"/>
      <c r="C54" s="773"/>
      <c r="D54" s="774"/>
      <c r="E54" s="774"/>
      <c r="F54" s="775"/>
      <c r="G54" s="155"/>
      <c r="H54" s="198"/>
      <c r="I54" s="6"/>
      <c r="J54" s="6"/>
    </row>
    <row r="55" spans="1:10" ht="6" customHeight="1">
      <c r="A55" s="29"/>
      <c r="B55" s="52"/>
      <c r="C55" s="47"/>
      <c r="D55" s="47"/>
      <c r="E55" s="47"/>
      <c r="F55" s="47"/>
      <c r="G55" s="155"/>
      <c r="H55" s="17"/>
      <c r="I55" s="6"/>
      <c r="J55" s="6"/>
    </row>
    <row r="56" spans="1:10" ht="6" customHeight="1">
      <c r="A56" s="29"/>
      <c r="B56" s="52"/>
      <c r="C56" s="47"/>
      <c r="D56" s="47"/>
      <c r="E56" s="47"/>
      <c r="F56" s="47"/>
      <c r="G56" s="155"/>
      <c r="H56" s="17"/>
      <c r="I56" s="6"/>
      <c r="J56" s="6"/>
    </row>
    <row r="57" spans="1:10" ht="15.75">
      <c r="A57" s="29"/>
      <c r="B57" s="52"/>
      <c r="C57" s="803" t="s">
        <v>1294</v>
      </c>
      <c r="D57" s="803"/>
      <c r="E57" s="803"/>
      <c r="F57" s="803"/>
      <c r="G57" s="155"/>
      <c r="H57" s="17"/>
      <c r="I57" s="6"/>
      <c r="J57" s="6"/>
    </row>
    <row r="58" spans="1:10" ht="6" customHeight="1">
      <c r="A58" s="29"/>
      <c r="B58" s="52"/>
      <c r="C58" s="47"/>
      <c r="D58" s="47"/>
      <c r="E58" s="47"/>
      <c r="F58" s="47"/>
      <c r="G58" s="155"/>
      <c r="H58" s="17"/>
      <c r="I58" s="6"/>
      <c r="J58" s="6"/>
    </row>
    <row r="59" spans="1:10" ht="27.75" customHeight="1">
      <c r="A59" s="29"/>
      <c r="B59" s="141"/>
      <c r="C59" s="823" t="s">
        <v>424</v>
      </c>
      <c r="D59" s="823"/>
      <c r="E59" s="824"/>
      <c r="F59" s="10" t="s">
        <v>81</v>
      </c>
      <c r="G59" s="155"/>
      <c r="H59" s="17"/>
      <c r="I59" s="6"/>
      <c r="J59" s="6"/>
    </row>
    <row r="60" spans="1:10" ht="30" customHeight="1">
      <c r="A60" s="29"/>
      <c r="B60" s="141"/>
      <c r="C60" s="827" t="s">
        <v>1344</v>
      </c>
      <c r="D60" s="828"/>
      <c r="E60" s="828"/>
      <c r="F60" s="828"/>
      <c r="G60" s="155"/>
      <c r="H60" s="209"/>
      <c r="I60" s="6"/>
      <c r="J60" s="6"/>
    </row>
    <row r="61" spans="1:10" ht="6" customHeight="1">
      <c r="A61" s="29"/>
      <c r="B61" s="52"/>
      <c r="C61" s="47"/>
      <c r="D61" s="47"/>
      <c r="E61" s="47"/>
      <c r="F61" s="47"/>
      <c r="G61" s="155"/>
      <c r="H61" s="17"/>
      <c r="I61" s="6"/>
      <c r="J61" s="6"/>
    </row>
    <row r="62" spans="1:10">
      <c r="A62" s="29"/>
      <c r="B62" s="141"/>
      <c r="C62" s="825" t="s">
        <v>473</v>
      </c>
      <c r="D62" s="825"/>
      <c r="E62" s="826"/>
      <c r="F62" s="11"/>
      <c r="G62" s="155"/>
      <c r="H62" s="209"/>
      <c r="I62" s="6"/>
      <c r="J62" s="6"/>
    </row>
    <row r="63" spans="1:10" ht="30" customHeight="1">
      <c r="A63" s="29"/>
      <c r="B63" s="141"/>
      <c r="C63" s="827" t="s">
        <v>467</v>
      </c>
      <c r="D63" s="827"/>
      <c r="E63" s="827"/>
      <c r="F63" s="827"/>
      <c r="G63" s="155"/>
      <c r="H63" s="198"/>
      <c r="I63" s="6"/>
      <c r="J63" s="6"/>
    </row>
    <row r="64" spans="1:10" ht="30" customHeight="1">
      <c r="A64" s="29"/>
      <c r="B64" s="141"/>
      <c r="C64" s="830" t="s">
        <v>1415</v>
      </c>
      <c r="D64" s="830"/>
      <c r="E64" s="830"/>
      <c r="F64" s="830"/>
      <c r="G64" s="155"/>
      <c r="H64" s="198"/>
      <c r="I64" s="6"/>
      <c r="J64" s="6"/>
    </row>
    <row r="65" spans="1:10" ht="24.75">
      <c r="A65" s="29"/>
      <c r="B65" s="141"/>
      <c r="C65" s="194"/>
      <c r="D65" s="195" t="s">
        <v>565</v>
      </c>
      <c r="E65" s="59"/>
      <c r="F65" s="187" t="s">
        <v>79</v>
      </c>
      <c r="G65" s="155"/>
      <c r="H65" s="198"/>
      <c r="I65" s="6"/>
      <c r="J65" s="6"/>
    </row>
    <row r="66" spans="1:10">
      <c r="A66" s="29"/>
      <c r="B66" s="141"/>
      <c r="C66" s="192" t="s">
        <v>445</v>
      </c>
      <c r="D66" s="26" t="s">
        <v>81</v>
      </c>
      <c r="E66" s="269"/>
      <c r="F66" s="250" t="str">
        <f>IF(D66="",'Backend (to be hidden)'!$BT$4,IF(D66='Backend (to be hidden)'!$BR$3,'Backend (to be hidden)'!$BT$3,IF(AND(OR($F$62='Backend (to be hidden)'!$BV$3,$F$62='Backend (to be hidden)'!$BV$4),D66='Backend (to be hidden)'!$BR$2,'4. Results &amp; Compliance'!$H$13='Backend (to be hidden)'!$CL$12),'Backend (to be hidden)'!$BT$2,'Backend (to be hidden)'!$BT$3)))</f>
        <v>No</v>
      </c>
      <c r="G66" s="155"/>
      <c r="H66" s="506"/>
      <c r="I66" s="252"/>
      <c r="J66" s="6"/>
    </row>
    <row r="67" spans="1:10">
      <c r="A67" s="29"/>
      <c r="B67" s="141"/>
      <c r="C67" s="192" t="s">
        <v>446</v>
      </c>
      <c r="D67" s="26"/>
      <c r="E67" s="269"/>
      <c r="F67" s="26" t="str">
        <f>IF(D67="",'Backend (to be hidden)'!$BT$4,IF(D67='Backend (to be hidden)'!$BR$3,'Backend (to be hidden)'!$BT$3,IF(AND(OR($F$62='Backend (to be hidden)'!$BV$3,$F$62='Backend (to be hidden)'!$BV$4),D67='Backend (to be hidden)'!$BR$2,'4. Results &amp; Compliance'!$H$13='Backend (to be hidden)'!$CL$12),'Backend (to be hidden)'!$BT$2,'Backend (to be hidden)'!$BT$3)))</f>
        <v/>
      </c>
      <c r="G67" s="155"/>
      <c r="H67" s="17"/>
      <c r="I67" s="6"/>
      <c r="J67" s="6"/>
    </row>
    <row r="68" spans="1:10">
      <c r="A68" s="29"/>
      <c r="B68" s="141"/>
      <c r="C68" s="192" t="s">
        <v>564</v>
      </c>
      <c r="D68" s="255"/>
      <c r="E68" s="269"/>
      <c r="F68" s="255" t="str">
        <f>IF(D68="",'Backend (to be hidden)'!$BT$4,IF(D68='Backend (to be hidden)'!$BR$3,'Backend (to be hidden)'!$BT$3,IF(AND(OR($F$62='Backend (to be hidden)'!$BV$3,$F$62='Backend (to be hidden)'!$BV$4),D68='Backend (to be hidden)'!$BR$2,'4. Results &amp; Compliance'!$H$13='Backend (to be hidden)'!$CL$12),'Backend (to be hidden)'!$BT$2,'Backend (to be hidden)'!$BT$3)))</f>
        <v/>
      </c>
      <c r="G68" s="155"/>
      <c r="H68" s="17"/>
      <c r="I68" s="6"/>
      <c r="J68" s="6"/>
    </row>
    <row r="69" spans="1:10">
      <c r="A69" s="29"/>
      <c r="B69" s="141"/>
      <c r="C69" s="192" t="s">
        <v>447</v>
      </c>
      <c r="D69" s="26"/>
      <c r="E69" s="269"/>
      <c r="F69" s="250" t="str">
        <f>IF(D69="",'Backend (to be hidden)'!$BT$4,IF(D69='Backend (to be hidden)'!$BR$3,'Backend (to be hidden)'!$BT$3,IF(AND(OR($F$62='Backend (to be hidden)'!$BV$3,$F$62='Backend (to be hidden)'!$BV$4),D69='Backend (to be hidden)'!$BR$2,'4. Results &amp; Compliance'!$H$13='Backend (to be hidden)'!$CL$12),'Backend (to be hidden)'!$BT$2,'Backend (to be hidden)'!$BT$3)))</f>
        <v/>
      </c>
      <c r="G69" s="155"/>
      <c r="H69" s="17"/>
      <c r="I69" s="6"/>
      <c r="J69" s="6"/>
    </row>
    <row r="70" spans="1:10">
      <c r="A70" s="29"/>
      <c r="B70" s="141"/>
      <c r="C70" s="192" t="s">
        <v>448</v>
      </c>
      <c r="D70" s="26"/>
      <c r="E70" s="269"/>
      <c r="F70" s="26" t="str">
        <f>IF(D70="",'Backend (to be hidden)'!$BT$4,IF(D70='Backend (to be hidden)'!$BR$3,'Backend (to be hidden)'!$BT$3,IF(AND(OR($F$62='Backend (to be hidden)'!$BV$3,$F$62='Backend (to be hidden)'!$BV$4),D70='Backend (to be hidden)'!$BR$2,'4. Results &amp; Compliance'!$H$13='Backend (to be hidden)'!$CL$12),'Backend (to be hidden)'!$BT$2,'Backend (to be hidden)'!$BT$3)))</f>
        <v/>
      </c>
      <c r="G70" s="155"/>
      <c r="H70" s="17"/>
      <c r="I70" s="6"/>
      <c r="J70" s="6"/>
    </row>
    <row r="71" spans="1:10">
      <c r="A71" s="29"/>
      <c r="B71" s="141"/>
      <c r="C71" s="192" t="s">
        <v>449</v>
      </c>
      <c r="D71" s="493"/>
      <c r="E71" s="269"/>
      <c r="F71" s="493" t="str">
        <f>IF(D71="",'Backend (to be hidden)'!$BT$4,IF(D71='Backend (to be hidden)'!$BR$3,'Backend (to be hidden)'!$BT$3,IF(AND(OR($F$62='Backend (to be hidden)'!$BV$3,$F$62='Backend (to be hidden)'!$BV$4),D71='Backend (to be hidden)'!$BR$2,'4. Results &amp; Compliance'!$H$13='Backend (to be hidden)'!$CL$12),'Backend (to be hidden)'!$BT$2,'Backend (to be hidden)'!$BT$3)))</f>
        <v/>
      </c>
      <c r="G71" s="155"/>
      <c r="H71" s="17"/>
      <c r="I71" s="6"/>
      <c r="J71" s="6"/>
    </row>
    <row r="72" spans="1:10">
      <c r="A72" s="29"/>
      <c r="B72" s="141"/>
      <c r="C72" s="192" t="s">
        <v>450</v>
      </c>
      <c r="D72" s="21"/>
      <c r="E72" s="269"/>
      <c r="F72" s="21" t="str">
        <f>IF(D72="",'Backend (to be hidden)'!$BT$4,IF(D72='Backend (to be hidden)'!$BR$3,'Backend (to be hidden)'!$BT$3,IF(AND(OR($F$62='Backend (to be hidden)'!$BV$3,$F$62='Backend (to be hidden)'!$BV$4),D72='Backend (to be hidden)'!$BR$2,'4. Results &amp; Compliance'!$H$13='Backend (to be hidden)'!$CL$12),'Backend (to be hidden)'!$BT$2,'Backend (to be hidden)'!$BT$3)))</f>
        <v/>
      </c>
      <c r="G72" s="155"/>
      <c r="H72" s="209"/>
      <c r="I72" s="6"/>
      <c r="J72" s="6"/>
    </row>
    <row r="73" spans="1:10">
      <c r="A73" s="29"/>
      <c r="B73" s="141"/>
      <c r="C73" s="192" t="s">
        <v>1560</v>
      </c>
      <c r="D73" s="26"/>
      <c r="E73" s="269"/>
      <c r="F73" s="26" t="str">
        <f>IF(D73="",'Backend (to be hidden)'!$BT$4,IF(D73='Backend (to be hidden)'!$BR$3,'Backend (to be hidden)'!$BT$3,IF(AND(OR($F$62='Backend (to be hidden)'!$BV$3,$F$62='Backend (to be hidden)'!$BV$4),D73='Backend (to be hidden)'!$BR$2,'4. Results &amp; Compliance'!$H$13='Backend (to be hidden)'!$CL$12),'Backend (to be hidden)'!$BT$2,'Backend (to be hidden)'!$BT$3)))</f>
        <v/>
      </c>
      <c r="G73" s="155"/>
      <c r="H73" s="209"/>
      <c r="I73" s="6"/>
      <c r="J73" s="6"/>
    </row>
    <row r="74" spans="1:10">
      <c r="A74" s="29"/>
      <c r="B74" s="141"/>
      <c r="C74" s="192" t="s">
        <v>1399</v>
      </c>
      <c r="D74" s="26"/>
      <c r="E74" s="269"/>
      <c r="F74" s="26" t="str">
        <f>IF(D74="",'Backend (to be hidden)'!$BT$4,IF(D74='Backend (to be hidden)'!$BR$3,'Backend (to be hidden)'!$BT$3,IF(AND(OR($F$62='Backend (to be hidden)'!$BV$3,$F$62='Backend (to be hidden)'!$BV$4),D74='Backend (to be hidden)'!$BR$2,'4. Results &amp; Compliance'!$H$13='Backend (to be hidden)'!$CL$12),'Backend (to be hidden)'!$BT$2,'Backend (to be hidden)'!$BT$3)))</f>
        <v/>
      </c>
      <c r="G74" s="155"/>
      <c r="H74" s="209"/>
      <c r="I74" s="6"/>
      <c r="J74" s="6"/>
    </row>
    <row r="75" spans="1:10">
      <c r="A75" s="29"/>
      <c r="B75" s="141"/>
      <c r="C75" s="192" t="s">
        <v>1400</v>
      </c>
      <c r="D75" s="26"/>
      <c r="E75" s="269"/>
      <c r="F75" s="26" t="str">
        <f>IF(D75="",'Backend (to be hidden)'!$BT$4,IF(D75='Backend (to be hidden)'!$BR$3,'Backend (to be hidden)'!$BT$3,IF(AND(OR($F$62='Backend (to be hidden)'!$BV$3,$F$62='Backend (to be hidden)'!$BV$4),D75='Backend (to be hidden)'!$BR$2,'4. Results &amp; Compliance'!$H$13='Backend (to be hidden)'!$CL$12),'Backend (to be hidden)'!$BT$2,'Backend (to be hidden)'!$BT$3)))</f>
        <v/>
      </c>
      <c r="G75" s="155"/>
      <c r="H75" s="209"/>
      <c r="I75" s="6"/>
      <c r="J75" s="6"/>
    </row>
    <row r="76" spans="1:10">
      <c r="A76" s="29"/>
      <c r="B76" s="141"/>
      <c r="C76" s="192" t="s">
        <v>1401</v>
      </c>
      <c r="D76" s="255"/>
      <c r="E76" s="269"/>
      <c r="F76" s="255" t="str">
        <f>IF(D76="",'Backend (to be hidden)'!$BT$4,IF(D76='Backend (to be hidden)'!$BR$3,'Backend (to be hidden)'!$BT$3,IF(AND(OR($F$62='Backend (to be hidden)'!$BV$3,$F$62='Backend (to be hidden)'!$BV$4),D76='Backend (to be hidden)'!$BR$2,'4. Results &amp; Compliance'!$H$13='Backend (to be hidden)'!$CL$12),'Backend (to be hidden)'!$BT$2,'Backend (to be hidden)'!$BT$3)))</f>
        <v/>
      </c>
      <c r="G76" s="155"/>
      <c r="I76" s="6"/>
      <c r="J76" s="6"/>
    </row>
    <row r="77" spans="1:10" hidden="1">
      <c r="A77" s="29"/>
      <c r="B77" s="141"/>
      <c r="C77" s="192"/>
      <c r="D77" s="192"/>
      <c r="E77" s="192"/>
      <c r="F77" s="192"/>
      <c r="G77" s="155"/>
      <c r="I77" s="6"/>
      <c r="J77" s="6"/>
    </row>
    <row r="78" spans="1:10">
      <c r="A78" s="29"/>
      <c r="B78" s="141"/>
      <c r="C78" s="186" t="s">
        <v>451</v>
      </c>
      <c r="D78" s="816"/>
      <c r="E78" s="817"/>
      <c r="F78" s="818"/>
      <c r="G78" s="155"/>
      <c r="H78" s="17"/>
      <c r="I78" s="6"/>
      <c r="J78" s="6"/>
    </row>
    <row r="79" spans="1:10" ht="6" customHeight="1">
      <c r="A79" s="29"/>
      <c r="B79" s="52"/>
      <c r="C79" s="47"/>
      <c r="D79" s="47"/>
      <c r="E79" s="47"/>
      <c r="F79" s="47"/>
      <c r="G79" s="155"/>
      <c r="H79" s="17"/>
      <c r="I79" s="6"/>
      <c r="J79" s="6"/>
    </row>
    <row r="80" spans="1:10">
      <c r="A80" s="29"/>
      <c r="B80" s="141"/>
      <c r="C80" s="144" t="s">
        <v>179</v>
      </c>
      <c r="D80" s="426"/>
      <c r="E80" s="196"/>
      <c r="F80" s="426" t="str">
        <f>IF(D80="",'Backend (to be hidden)'!$BT$4,IF(D80='Backend (to be hidden)'!$BR$3,'Backend (to be hidden)'!$BT$3,IF(AND(OR($F$62='Backend (to be hidden)'!$BV$3,$F$62='Backend (to be hidden)'!$BV$4),D80='Backend (to be hidden)'!$BR$2,'4. Results &amp; Compliance'!$H$13='Backend (to be hidden)'!$CL$12),'Backend (to be hidden)'!$BT$2,'Backend (to be hidden)'!$BT$3)))</f>
        <v/>
      </c>
      <c r="G80" s="155"/>
      <c r="H80" s="17"/>
      <c r="I80" s="6"/>
      <c r="J80" s="6"/>
    </row>
    <row r="81" spans="1:10" hidden="1">
      <c r="A81" s="29"/>
      <c r="B81" s="141"/>
      <c r="C81" s="662"/>
      <c r="D81" s="662"/>
      <c r="E81" s="662"/>
      <c r="F81" s="662"/>
      <c r="G81" s="155"/>
      <c r="H81" s="17"/>
      <c r="I81" s="6"/>
      <c r="J81" s="6"/>
    </row>
    <row r="82" spans="1:10">
      <c r="A82" s="29"/>
      <c r="B82" s="141"/>
      <c r="C82" s="186" t="s">
        <v>451</v>
      </c>
      <c r="D82" s="816"/>
      <c r="E82" s="817"/>
      <c r="F82" s="818"/>
      <c r="G82" s="155"/>
      <c r="H82" s="17"/>
      <c r="I82" s="6"/>
      <c r="J82" s="6"/>
    </row>
    <row r="83" spans="1:10" ht="28.5" customHeight="1">
      <c r="A83" s="29"/>
      <c r="B83" s="167"/>
      <c r="C83" s="815" t="s">
        <v>454</v>
      </c>
      <c r="D83" s="815"/>
      <c r="E83" s="815"/>
      <c r="F83" s="815"/>
      <c r="G83" s="155"/>
      <c r="H83" s="17"/>
      <c r="I83" s="6"/>
      <c r="J83" s="6"/>
    </row>
    <row r="84" spans="1:10" ht="75" customHeight="1">
      <c r="A84" s="29"/>
      <c r="B84" s="168"/>
      <c r="C84" s="773"/>
      <c r="D84" s="774"/>
      <c r="E84" s="774"/>
      <c r="F84" s="775"/>
      <c r="G84" s="155"/>
      <c r="H84" s="502"/>
      <c r="I84" s="17"/>
      <c r="J84" s="6"/>
    </row>
    <row r="85" spans="1:10" ht="6" customHeight="1" thickBot="1">
      <c r="A85" s="29"/>
      <c r="B85" s="43"/>
      <c r="C85" s="44"/>
      <c r="D85" s="45"/>
      <c r="E85" s="45"/>
      <c r="F85" s="45"/>
      <c r="G85" s="155"/>
      <c r="H85" s="17"/>
      <c r="I85" s="6"/>
      <c r="J85" s="6"/>
    </row>
    <row r="86" spans="1:10" ht="15.75">
      <c r="A86" s="29"/>
      <c r="B86" s="185"/>
      <c r="C86" s="777" t="s">
        <v>486</v>
      </c>
      <c r="D86" s="777"/>
      <c r="E86" s="777"/>
      <c r="F86" s="777"/>
      <c r="G86" s="778"/>
      <c r="H86" s="17"/>
      <c r="I86" s="6"/>
      <c r="J86" s="6"/>
    </row>
    <row r="87" spans="1:10" ht="6" customHeight="1">
      <c r="A87" s="29"/>
      <c r="B87" s="52"/>
      <c r="C87" s="47"/>
      <c r="D87" s="47"/>
      <c r="E87" s="47"/>
      <c r="F87" s="47"/>
      <c r="G87" s="155"/>
      <c r="H87" s="17"/>
      <c r="I87" s="6"/>
      <c r="J87" s="6"/>
    </row>
    <row r="88" spans="1:10" ht="45.75" customHeight="1">
      <c r="A88" s="29"/>
      <c r="B88" s="52"/>
      <c r="C88" s="807" t="s">
        <v>1405</v>
      </c>
      <c r="D88" s="808"/>
      <c r="E88" s="808"/>
      <c r="F88" s="808"/>
      <c r="G88" s="155"/>
      <c r="H88" s="209"/>
      <c r="I88" s="6"/>
      <c r="J88" s="6"/>
    </row>
    <row r="89" spans="1:10" ht="15.75">
      <c r="A89" s="29"/>
      <c r="B89" s="52"/>
      <c r="C89" s="47"/>
      <c r="D89" s="187" t="s">
        <v>78</v>
      </c>
      <c r="E89" s="59"/>
      <c r="F89" s="187" t="s">
        <v>79</v>
      </c>
      <c r="G89" s="155"/>
      <c r="H89" s="17"/>
      <c r="I89" s="6"/>
      <c r="J89" s="6"/>
    </row>
    <row r="90" spans="1:10" ht="15.75">
      <c r="A90" s="29"/>
      <c r="B90" s="52"/>
      <c r="C90" s="429" t="s">
        <v>1402</v>
      </c>
      <c r="D90" s="188" t="str">
        <f>IF(F90="No","No",IF(F90="Yes","Yes",""))</f>
        <v>Yes</v>
      </c>
      <c r="E90" s="59"/>
      <c r="F90" s="426" t="s">
        <v>81</v>
      </c>
      <c r="G90" s="155"/>
      <c r="H90" s="209"/>
      <c r="I90" s="6"/>
      <c r="J90" s="6"/>
    </row>
    <row r="91" spans="1:10" ht="13.15" customHeight="1">
      <c r="A91" s="29"/>
      <c r="B91" s="141"/>
      <c r="C91" s="144" t="s">
        <v>1403</v>
      </c>
      <c r="D91" s="26"/>
      <c r="E91" s="59"/>
      <c r="F91" s="188" t="s">
        <v>75</v>
      </c>
      <c r="G91" s="155"/>
      <c r="H91" s="209"/>
      <c r="I91" s="6"/>
      <c r="J91" s="6"/>
    </row>
    <row r="92" spans="1:10" ht="14.1" customHeight="1">
      <c r="A92" s="29"/>
      <c r="B92" s="141"/>
      <c r="C92" s="144" t="s">
        <v>1404</v>
      </c>
      <c r="D92" s="9"/>
      <c r="E92" s="59"/>
      <c r="F92" s="188" t="s">
        <v>75</v>
      </c>
      <c r="G92" s="155"/>
      <c r="H92" s="17"/>
      <c r="I92" s="6"/>
      <c r="J92" s="6"/>
    </row>
    <row r="93" spans="1:10" ht="15" customHeight="1" thickBot="1">
      <c r="A93" s="29"/>
      <c r="B93" s="72"/>
      <c r="C93" s="44"/>
      <c r="D93" s="45"/>
      <c r="E93" s="45"/>
      <c r="F93" s="45"/>
      <c r="G93" s="46"/>
      <c r="H93" s="209"/>
      <c r="I93" s="6"/>
      <c r="J93" s="6"/>
    </row>
    <row r="94" spans="1:10" ht="15.75">
      <c r="A94" s="29"/>
      <c r="B94" s="185"/>
      <c r="C94" s="777" t="s">
        <v>429</v>
      </c>
      <c r="D94" s="777"/>
      <c r="E94" s="777"/>
      <c r="F94" s="777"/>
      <c r="G94" s="778"/>
      <c r="H94" s="17"/>
      <c r="I94" s="6"/>
      <c r="J94" s="6"/>
    </row>
    <row r="95" spans="1:10" ht="5.0999999999999996" customHeight="1">
      <c r="A95" s="29"/>
      <c r="B95" s="52"/>
      <c r="C95" s="47"/>
      <c r="D95" s="47"/>
      <c r="E95" s="47"/>
      <c r="F95" s="47"/>
      <c r="G95" s="155"/>
      <c r="H95" s="17"/>
      <c r="I95" s="6"/>
      <c r="J95" s="6"/>
    </row>
    <row r="96" spans="1:10">
      <c r="A96" s="29"/>
      <c r="B96" s="167"/>
      <c r="C96" s="820" t="s">
        <v>469</v>
      </c>
      <c r="D96" s="820"/>
      <c r="E96" s="820"/>
      <c r="F96" s="820"/>
      <c r="G96" s="155"/>
      <c r="H96" s="19"/>
      <c r="I96" s="6"/>
      <c r="J96" s="6"/>
    </row>
    <row r="97" spans="1:10" ht="74.099999999999994" customHeight="1">
      <c r="A97" s="29"/>
      <c r="B97" s="168"/>
      <c r="C97" s="767" t="s">
        <v>1620</v>
      </c>
      <c r="D97" s="768"/>
      <c r="E97" s="768"/>
      <c r="F97" s="769"/>
      <c r="G97" s="155"/>
      <c r="H97" s="799"/>
      <c r="I97" s="800"/>
      <c r="J97" s="800"/>
    </row>
    <row r="98" spans="1:10" ht="6" customHeight="1" thickBot="1">
      <c r="A98" s="29"/>
      <c r="B98" s="55"/>
      <c r="C98" s="56"/>
      <c r="D98" s="56"/>
      <c r="E98" s="56"/>
      <c r="F98" s="56"/>
      <c r="G98" s="161"/>
      <c r="H98" s="17"/>
      <c r="I98" s="6"/>
      <c r="J98" s="6"/>
    </row>
    <row r="99" spans="1:10" ht="15.75">
      <c r="A99" s="29"/>
      <c r="B99" s="185"/>
      <c r="C99" s="777" t="s">
        <v>427</v>
      </c>
      <c r="D99" s="777"/>
      <c r="E99" s="777"/>
      <c r="F99" s="777"/>
      <c r="G99" s="778"/>
      <c r="H99" s="17"/>
      <c r="I99" s="6"/>
      <c r="J99" s="6"/>
    </row>
    <row r="100" spans="1:10" ht="5.0999999999999996" customHeight="1">
      <c r="A100" s="29"/>
      <c r="B100" s="52"/>
      <c r="C100" s="47"/>
      <c r="D100" s="47"/>
      <c r="E100" s="47"/>
      <c r="F100" s="47"/>
      <c r="G100" s="155"/>
      <c r="H100" s="17"/>
      <c r="I100" s="6"/>
      <c r="J100" s="6"/>
    </row>
    <row r="101" spans="1:10" ht="13.5" customHeight="1">
      <c r="A101" s="29"/>
      <c r="B101" s="52"/>
      <c r="C101" s="804" t="s">
        <v>476</v>
      </c>
      <c r="D101" s="804"/>
      <c r="E101" s="804"/>
      <c r="F101" s="804"/>
      <c r="G101" s="805"/>
      <c r="H101" s="17"/>
      <c r="I101" s="6"/>
      <c r="J101" s="6"/>
    </row>
    <row r="102" spans="1:10" ht="24" customHeight="1">
      <c r="A102" s="29"/>
      <c r="B102" s="141"/>
      <c r="C102" s="821" t="s">
        <v>474</v>
      </c>
      <c r="D102" s="821"/>
      <c r="E102" s="822"/>
      <c r="F102" s="10" t="s">
        <v>75</v>
      </c>
      <c r="G102" s="155"/>
      <c r="H102" s="17"/>
      <c r="I102" s="6"/>
      <c r="J102" s="6"/>
    </row>
    <row r="103" spans="1:10">
      <c r="A103" s="29"/>
      <c r="B103" s="167"/>
      <c r="C103" s="806" t="s">
        <v>468</v>
      </c>
      <c r="D103" s="806"/>
      <c r="E103" s="806"/>
      <c r="F103" s="806"/>
      <c r="G103" s="155"/>
      <c r="H103" s="17"/>
      <c r="I103" s="6"/>
      <c r="J103" s="6"/>
    </row>
    <row r="104" spans="1:10" ht="74.099999999999994" customHeight="1">
      <c r="A104" s="29"/>
      <c r="B104" s="168"/>
      <c r="C104" s="773"/>
      <c r="D104" s="774"/>
      <c r="E104" s="774"/>
      <c r="F104" s="775"/>
      <c r="G104" s="155"/>
      <c r="H104" s="17"/>
      <c r="I104" s="6"/>
      <c r="J104" s="6"/>
    </row>
    <row r="105" spans="1:10" ht="5.0999999999999996" customHeight="1">
      <c r="A105" s="29"/>
      <c r="B105" s="52"/>
      <c r="C105" s="181"/>
      <c r="D105" s="181"/>
      <c r="E105" s="181"/>
      <c r="F105" s="47"/>
      <c r="G105" s="155"/>
      <c r="H105" s="17"/>
      <c r="I105" s="6"/>
      <c r="J105" s="6"/>
    </row>
    <row r="106" spans="1:10" ht="24.75" customHeight="1">
      <c r="A106" s="29"/>
      <c r="B106" s="141"/>
      <c r="C106" s="801" t="s">
        <v>475</v>
      </c>
      <c r="D106" s="801"/>
      <c r="E106" s="801"/>
      <c r="F106" s="10" t="s">
        <v>75</v>
      </c>
      <c r="G106" s="155"/>
      <c r="H106" s="17"/>
      <c r="I106" s="6"/>
      <c r="J106" s="6"/>
    </row>
    <row r="107" spans="1:10" ht="24.75" hidden="1" customHeight="1">
      <c r="A107" s="29"/>
      <c r="B107" s="141"/>
      <c r="C107" s="564"/>
      <c r="D107" s="564"/>
      <c r="E107" s="564"/>
      <c r="F107" s="564"/>
      <c r="G107" s="155"/>
      <c r="H107" s="17"/>
      <c r="I107" s="6"/>
      <c r="J107" s="6"/>
    </row>
    <row r="108" spans="1:10" ht="45" customHeight="1">
      <c r="A108" s="29"/>
      <c r="B108" s="141"/>
      <c r="C108" s="801" t="s">
        <v>1489</v>
      </c>
      <c r="D108" s="801"/>
      <c r="E108" s="801"/>
      <c r="F108" s="504"/>
      <c r="G108" s="155"/>
      <c r="H108" s="209"/>
      <c r="I108" s="6"/>
      <c r="J108" s="6"/>
    </row>
    <row r="109" spans="1:10" ht="39.950000000000003" customHeight="1">
      <c r="A109" s="29"/>
      <c r="B109" s="167"/>
      <c r="C109" s="806" t="s">
        <v>1482</v>
      </c>
      <c r="D109" s="806"/>
      <c r="E109" s="806"/>
      <c r="F109" s="806"/>
      <c r="G109" s="155"/>
      <c r="H109" s="209"/>
      <c r="I109" s="6"/>
      <c r="J109" s="6"/>
    </row>
    <row r="110" spans="1:10" ht="74.099999999999994" customHeight="1">
      <c r="A110" s="29"/>
      <c r="B110" s="168"/>
      <c r="C110" s="767"/>
      <c r="D110" s="768"/>
      <c r="E110" s="768"/>
      <c r="F110" s="769"/>
      <c r="G110" s="155"/>
      <c r="H110" s="209"/>
      <c r="I110" s="6"/>
      <c r="J110" s="6"/>
    </row>
    <row r="111" spans="1:10" ht="5.0999999999999996" customHeight="1">
      <c r="A111" s="29"/>
      <c r="B111" s="52"/>
      <c r="C111" s="181"/>
      <c r="D111" s="181"/>
      <c r="E111" s="181"/>
      <c r="F111" s="47"/>
      <c r="G111" s="155"/>
      <c r="H111" s="17"/>
      <c r="I111" s="6"/>
      <c r="J111" s="6"/>
    </row>
    <row r="112" spans="1:10">
      <c r="A112" s="29"/>
      <c r="B112" s="167"/>
      <c r="C112" s="819" t="s">
        <v>430</v>
      </c>
      <c r="D112" s="819"/>
      <c r="E112" s="819"/>
      <c r="F112" s="819"/>
      <c r="G112" s="155"/>
      <c r="H112" s="17"/>
      <c r="I112" s="6"/>
      <c r="J112" s="6"/>
    </row>
    <row r="113" spans="1:10" ht="30" customHeight="1">
      <c r="A113" s="29"/>
      <c r="B113" s="141"/>
      <c r="C113" s="806" t="s">
        <v>1345</v>
      </c>
      <c r="D113" s="806"/>
      <c r="E113" s="806"/>
      <c r="F113" s="806"/>
      <c r="G113" s="155"/>
      <c r="H113" s="209"/>
      <c r="I113" s="6"/>
      <c r="J113" s="6"/>
    </row>
    <row r="114" spans="1:10" ht="74.099999999999994" customHeight="1">
      <c r="A114" s="29"/>
      <c r="B114" s="168"/>
      <c r="C114" s="773"/>
      <c r="D114" s="774"/>
      <c r="E114" s="774"/>
      <c r="F114" s="775"/>
      <c r="G114" s="155"/>
      <c r="H114" s="209"/>
      <c r="I114" s="6"/>
      <c r="J114" s="6"/>
    </row>
    <row r="115" spans="1:10" ht="6" customHeight="1" thickBot="1">
      <c r="A115" s="29"/>
      <c r="B115" s="52"/>
      <c r="C115" s="614"/>
      <c r="D115" s="614"/>
      <c r="E115" s="614"/>
      <c r="F115" s="614"/>
      <c r="G115" s="155"/>
      <c r="H115" s="17"/>
      <c r="I115" s="6"/>
      <c r="J115" s="6"/>
    </row>
    <row r="116" spans="1:10" ht="15.75">
      <c r="A116" s="29"/>
      <c r="B116" s="615"/>
      <c r="C116" s="777" t="s">
        <v>548</v>
      </c>
      <c r="D116" s="777"/>
      <c r="E116" s="777"/>
      <c r="F116" s="777"/>
      <c r="G116" s="778"/>
      <c r="H116" s="209"/>
      <c r="I116" s="6"/>
      <c r="J116" s="6"/>
    </row>
    <row r="117" spans="1:10" ht="6" customHeight="1">
      <c r="A117" s="29"/>
      <c r="B117" s="141"/>
      <c r="C117" s="614"/>
      <c r="D117" s="614"/>
      <c r="E117" s="614"/>
      <c r="F117" s="614"/>
      <c r="G117" s="155"/>
      <c r="H117" s="17"/>
      <c r="I117" s="6"/>
      <c r="J117" s="6"/>
    </row>
    <row r="118" spans="1:10" ht="93.75" customHeight="1">
      <c r="A118" s="29"/>
      <c r="B118" s="141"/>
      <c r="C118" s="819" t="s">
        <v>1606</v>
      </c>
      <c r="D118" s="819"/>
      <c r="E118" s="819"/>
      <c r="F118" s="819"/>
      <c r="G118" s="155"/>
      <c r="H118" s="17"/>
      <c r="I118" s="6"/>
      <c r="J118" s="6"/>
    </row>
    <row r="119" spans="1:10" ht="6.75" customHeight="1">
      <c r="A119" s="29"/>
      <c r="B119" s="141"/>
      <c r="C119" s="613"/>
      <c r="D119" s="613"/>
      <c r="E119" s="613"/>
      <c r="F119" s="613"/>
      <c r="G119" s="155"/>
      <c r="H119" s="17"/>
      <c r="I119" s="6"/>
      <c r="J119" s="6"/>
    </row>
    <row r="120" spans="1:10" ht="27" customHeight="1">
      <c r="A120" s="29"/>
      <c r="B120" s="141"/>
      <c r="C120" s="834" t="s">
        <v>1406</v>
      </c>
      <c r="D120" s="834"/>
      <c r="E120" s="613"/>
      <c r="F120" s="644" t="s">
        <v>81</v>
      </c>
      <c r="G120" s="155"/>
      <c r="H120" s="17"/>
      <c r="I120" s="6"/>
      <c r="J120" s="6"/>
    </row>
    <row r="121" spans="1:10" ht="6" customHeight="1" thickBot="1">
      <c r="A121" s="29"/>
      <c r="B121" s="55"/>
      <c r="C121" s="56"/>
      <c r="D121" s="56"/>
      <c r="E121" s="56"/>
      <c r="F121" s="56"/>
      <c r="G121" s="161"/>
      <c r="H121" s="17"/>
      <c r="I121" s="6"/>
      <c r="J121" s="6"/>
    </row>
    <row r="122" spans="1:10" ht="3" customHeight="1"/>
    <row r="123" spans="1:10" ht="15" customHeight="1"/>
    <row r="124" spans="1:10" ht="15" customHeight="1"/>
    <row r="125" spans="1:10" ht="15" customHeight="1"/>
    <row r="126" spans="1:10" ht="15" hidden="1" customHeight="1"/>
    <row r="127" spans="1:10" ht="15" hidden="1" customHeight="1"/>
    <row r="128" spans="1:10" ht="15" hidden="1" customHeight="1"/>
    <row r="129" ht="15" hidden="1" customHeight="1"/>
    <row r="130" ht="15" hidden="1" customHeight="1"/>
    <row r="131" ht="15" hidden="1" customHeight="1"/>
    <row r="132" ht="15" hidden="1" customHeight="1"/>
    <row r="133" ht="15" hidden="1" customHeight="1"/>
    <row r="134" ht="15" hidden="1" customHeight="1"/>
    <row r="135" ht="15" hidden="1" customHeight="1"/>
    <row r="136" ht="15" hidden="1" customHeight="1"/>
    <row r="137" ht="15" hidden="1" customHeight="1"/>
    <row r="138" ht="15" hidden="1" customHeight="1"/>
    <row r="139" ht="15" hidden="1" customHeight="1"/>
    <row r="140" ht="15" hidden="1" customHeight="1"/>
    <row r="141" ht="15" hidden="1" customHeight="1"/>
    <row r="142" ht="15" hidden="1" customHeight="1"/>
    <row r="143" ht="15" hidden="1" customHeight="1"/>
    <row r="144" ht="15" hidden="1" customHeight="1"/>
    <row r="145" ht="15" hidden="1" customHeight="1"/>
    <row r="146" ht="15" hidden="1" customHeight="1"/>
    <row r="147" ht="15" hidden="1" customHeight="1"/>
    <row r="148" ht="15" hidden="1" customHeight="1"/>
    <row r="149" ht="15" hidden="1" customHeight="1"/>
    <row r="150" ht="15" hidden="1" customHeight="1"/>
    <row r="151" ht="15" hidden="1" customHeight="1"/>
    <row r="152" ht="15" hidden="1" customHeight="1"/>
    <row r="153" ht="15" hidden="1" customHeight="1"/>
    <row r="154" ht="15" hidden="1" customHeight="1"/>
    <row r="155" ht="15" hidden="1" customHeight="1"/>
    <row r="156" ht="15" hidden="1" customHeight="1"/>
    <row r="157" ht="15" hidden="1" customHeight="1"/>
    <row r="158" ht="15" hidden="1" customHeight="1"/>
    <row r="159" ht="15" hidden="1" customHeight="1"/>
    <row r="160" ht="15" hidden="1" customHeight="1"/>
    <row r="161" ht="15" hidden="1" customHeight="1"/>
    <row r="162" ht="15" hidden="1" customHeight="1"/>
    <row r="163" ht="15" hidden="1" customHeight="1"/>
    <row r="164" ht="15" hidden="1" customHeight="1"/>
    <row r="165" ht="15" hidden="1" customHeight="1"/>
    <row r="166" ht="15" hidden="1" customHeight="1"/>
    <row r="167" ht="15" hidden="1" customHeight="1"/>
    <row r="168" ht="15" hidden="1" customHeight="1"/>
    <row r="169" ht="15" hidden="1" customHeight="1"/>
    <row r="170" ht="15" hidden="1" customHeight="1"/>
    <row r="171" ht="15" hidden="1" customHeight="1"/>
    <row r="172" ht="15" hidden="1" customHeight="1"/>
    <row r="173" ht="15" hidden="1" customHeight="1"/>
    <row r="174" ht="15" hidden="1" customHeight="1"/>
    <row r="175" ht="15" hidden="1" customHeight="1"/>
    <row r="176" ht="15" hidden="1" customHeight="1"/>
    <row r="177" ht="15" hidden="1" customHeight="1"/>
    <row r="178" ht="15" hidden="1" customHeight="1"/>
    <row r="179" ht="15" hidden="1" customHeight="1"/>
    <row r="180" ht="15" hidden="1" customHeight="1"/>
    <row r="181" ht="15" hidden="1" customHeight="1"/>
    <row r="182" ht="15" hidden="1" customHeight="1"/>
    <row r="183" ht="15" hidden="1" customHeight="1"/>
    <row r="184" ht="15" hidden="1" customHeight="1"/>
    <row r="185" ht="15" hidden="1" customHeight="1"/>
    <row r="186" ht="15" hidden="1" customHeight="1"/>
    <row r="187" ht="15" hidden="1" customHeight="1"/>
    <row r="188" ht="15" hidden="1" customHeight="1"/>
    <row r="189" ht="15" hidden="1" customHeight="1"/>
    <row r="190" ht="15" hidden="1" customHeight="1"/>
    <row r="191" ht="15" hidden="1" customHeight="1"/>
    <row r="192" ht="15" hidden="1" customHeight="1"/>
    <row r="193" ht="15" hidden="1" customHeight="1"/>
    <row r="194" ht="15" hidden="1" customHeight="1"/>
    <row r="195" ht="15" hidden="1" customHeight="1"/>
    <row r="196" ht="15" hidden="1" customHeight="1"/>
    <row r="197" ht="15" hidden="1" customHeight="1"/>
    <row r="198" ht="15" hidden="1" customHeight="1"/>
    <row r="199" ht="15" hidden="1" customHeight="1"/>
    <row r="200" ht="15" hidden="1" customHeight="1"/>
    <row r="201" ht="15" hidden="1" customHeight="1"/>
    <row r="202" ht="15" hidden="1" customHeight="1"/>
    <row r="203" ht="15" hidden="1" customHeight="1"/>
    <row r="204" ht="15" hidden="1" customHeight="1"/>
    <row r="205" ht="15" hidden="1" customHeight="1"/>
    <row r="206" ht="15" hidden="1" customHeight="1"/>
    <row r="207" ht="15" hidden="1" customHeight="1"/>
    <row r="208" ht="15" hidden="1" customHeight="1"/>
    <row r="209" ht="15" hidden="1" customHeight="1"/>
    <row r="210" ht="15" hidden="1" customHeight="1"/>
    <row r="211" ht="15" hidden="1" customHeight="1"/>
    <row r="212" ht="15" hidden="1" customHeight="1"/>
    <row r="213" ht="15" hidden="1" customHeight="1"/>
    <row r="214" ht="15" hidden="1" customHeight="1"/>
    <row r="215" ht="15" hidden="1" customHeight="1"/>
    <row r="216" ht="15" hidden="1" customHeight="1"/>
    <row r="217" ht="15" hidden="1" customHeight="1"/>
    <row r="218" ht="15" hidden="1" customHeight="1"/>
    <row r="219" ht="15" hidden="1" customHeight="1"/>
    <row r="220" ht="15" hidden="1" customHeight="1"/>
    <row r="221" ht="15" hidden="1" customHeight="1"/>
    <row r="222" ht="15" hidden="1" customHeight="1"/>
    <row r="223" ht="15" hidden="1" customHeight="1"/>
    <row r="224" ht="15" hidden="1" customHeight="1"/>
    <row r="225" ht="15" hidden="1" customHeight="1"/>
    <row r="226" ht="15" hidden="1" customHeight="1"/>
  </sheetData>
  <sheetProtection algorithmName="SHA-512" hashValue="1Re9Urn3zpGbBIFYNuOKQxj1U2WZV7d7Cq2YWEZGzIRKggtTndov7Nub+GJp7a1Ck7aIRU775eD6A77RZ/H8hA==" saltValue="W3FLS/co2DnX1yuiACzy/Q==" spinCount="100000" sheet="1" formatRows="0"/>
  <mergeCells count="63">
    <mergeCell ref="C120:D120"/>
    <mergeCell ref="D14:F14"/>
    <mergeCell ref="D21:F21"/>
    <mergeCell ref="C30:G30"/>
    <mergeCell ref="C27:G27"/>
    <mergeCell ref="D22:F22"/>
    <mergeCell ref="D24:F24"/>
    <mergeCell ref="C45:F45"/>
    <mergeCell ref="C42:G42"/>
    <mergeCell ref="C32:F32"/>
    <mergeCell ref="D19:F19"/>
    <mergeCell ref="C63:F63"/>
    <mergeCell ref="C64:F64"/>
    <mergeCell ref="D78:F78"/>
    <mergeCell ref="C118:F118"/>
    <mergeCell ref="C116:G116"/>
    <mergeCell ref="C2:G2"/>
    <mergeCell ref="C6:G6"/>
    <mergeCell ref="C7:G7"/>
    <mergeCell ref="C9:G9"/>
    <mergeCell ref="D10:F10"/>
    <mergeCell ref="D11:F11"/>
    <mergeCell ref="C51:E51"/>
    <mergeCell ref="C59:E59"/>
    <mergeCell ref="C62:E62"/>
    <mergeCell ref="C60:F60"/>
    <mergeCell ref="D28:F28"/>
    <mergeCell ref="C33:F33"/>
    <mergeCell ref="C23:F23"/>
    <mergeCell ref="D15:F15"/>
    <mergeCell ref="D16:F16"/>
    <mergeCell ref="D25:F25"/>
    <mergeCell ref="C44:F44"/>
    <mergeCell ref="D13:F13"/>
    <mergeCell ref="C53:F53"/>
    <mergeCell ref="C54:F54"/>
    <mergeCell ref="D12:F12"/>
    <mergeCell ref="C110:F110"/>
    <mergeCell ref="C114:F114"/>
    <mergeCell ref="C113:F113"/>
    <mergeCell ref="C94:G94"/>
    <mergeCell ref="C112:F112"/>
    <mergeCell ref="C96:F96"/>
    <mergeCell ref="C97:F97"/>
    <mergeCell ref="C104:F104"/>
    <mergeCell ref="C102:E102"/>
    <mergeCell ref="C106:E106"/>
    <mergeCell ref="C109:F109"/>
    <mergeCell ref="C99:G99"/>
    <mergeCell ref="D20:F20"/>
    <mergeCell ref="D17:F17"/>
    <mergeCell ref="C83:F83"/>
    <mergeCell ref="C84:F84"/>
    <mergeCell ref="D82:F82"/>
    <mergeCell ref="D18:F18"/>
    <mergeCell ref="H97:J97"/>
    <mergeCell ref="C108:E108"/>
    <mergeCell ref="H33:J33"/>
    <mergeCell ref="C57:F57"/>
    <mergeCell ref="C86:G86"/>
    <mergeCell ref="C101:G101"/>
    <mergeCell ref="C103:F103"/>
    <mergeCell ref="C88:F88"/>
  </mergeCells>
  <conditionalFormatting sqref="F66:F76 F80">
    <cfRule type="expression" dxfId="174" priority="190">
      <formula>$F$62=""</formula>
    </cfRule>
  </conditionalFormatting>
  <dataValidations count="10">
    <dataValidation type="list" allowBlank="1" showInputMessage="1" showErrorMessage="1" sqref="D42:G42 D94:G94 D27:G27 D116:F117 D86:G86 D99:G99 G116 D30:G30" xr:uid="{00000000-0002-0000-0200-000000000000}">
      <formula1>INDIRECT("SecondaryBuildingUse")</formula1>
    </dataValidation>
    <dataValidation type="list" allowBlank="1" showInputMessage="1" showErrorMessage="1" sqref="D42:G42 D94:G94 D27:G27 D116:F117 D86:G86 D99:G99 G116 D30:G30" xr:uid="{00000000-0002-0000-0200-000001000000}">
      <formula1>INDIRECT("ConstructionType")</formula1>
    </dataValidation>
    <dataValidation type="list" allowBlank="1" showInputMessage="1" showErrorMessage="1" sqref="D40 F35:F40 D35 F48:F49 D48:D49 D91:D92 F90:F92" xr:uid="{00000000-0002-0000-0200-000002000000}">
      <formula1>INDIRECT("BiogenicInclusion")</formula1>
    </dataValidation>
    <dataValidation type="list" allowBlank="1" showInputMessage="1" showErrorMessage="1" sqref="D13 D15:D16" xr:uid="{00000000-0002-0000-0200-000004000000}">
      <formula1>INDIRECT("MaterialQuantitySource")</formula1>
    </dataValidation>
    <dataValidation type="list" allowBlank="1" showInputMessage="1" showErrorMessage="1" sqref="D24" xr:uid="{00000000-0002-0000-0200-000005000000}">
      <formula1>INDIRECT("GreenBuildingRatingSystem")</formula1>
    </dataValidation>
    <dataValidation type="list" allowBlank="1" showInputMessage="1" showErrorMessage="1" sqref="F59 E106:F106 E51:F51 E102:F102 F120 D66:D76 D80" xr:uid="{00000000-0002-0000-0200-000006000000}">
      <formula1>INDIRECT("scope")</formula1>
    </dataValidation>
    <dataValidation type="list" allowBlank="1" showInputMessage="1" showErrorMessage="1" sqref="F62" xr:uid="{00000000-0002-0000-0200-000007000000}">
      <formula1>INDIRECT("ComplianceOptionalScope")</formula1>
    </dataValidation>
    <dataValidation type="list" allowBlank="1" showInputMessage="1" showErrorMessage="1" sqref="D36:D39" xr:uid="{EF6A56AD-F623-4DBA-A71C-B6663AB3511E}">
      <formula1>INDIRECT("Life_Cycle_Stages_Scope")</formula1>
    </dataValidation>
    <dataValidation type="list" allowBlank="1" showInputMessage="1" showErrorMessage="1" sqref="D22:F22" xr:uid="{00000000-0002-0000-0200-000009000000}">
      <formula1>INDIRECT("Scope")</formula1>
    </dataValidation>
    <dataValidation type="list" allowBlank="1" showInputMessage="1" showErrorMessage="1" sqref="F66:F76 F80" xr:uid="{00000000-0002-0000-0200-00000A000000}">
      <formula1>INDIRECT("life_cycle_stages_scope")</formula1>
    </dataValidation>
  </dataValidations>
  <pageMargins left="0.7" right="0.7" top="0.75" bottom="0.75" header="0.3" footer="0.3"/>
  <pageSetup orientation="portrait" r:id="rId1"/>
  <rowBreaks count="4" manualBreakCount="4">
    <brk id="29" min="1" max="6" man="1"/>
    <brk id="55" max="16383" man="1"/>
    <brk id="85" max="16383" man="1"/>
    <brk id="98"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402" id="{38A08469-6262-4BF4-B14A-260C3E717F58}">
            <xm:f>NOT($F$59='Backend (to be hidden)'!$BR$2)</xm:f>
            <x14:dxf>
              <font>
                <color theme="0" tint="-0.14996795556505021"/>
              </font>
              <fill>
                <patternFill>
                  <bgColor theme="0" tint="-0.14996795556505021"/>
                </patternFill>
              </fill>
              <border>
                <left style="thin">
                  <color theme="0" tint="-0.14996795556505021"/>
                </left>
                <right style="thin">
                  <color theme="0" tint="-0.14996795556505021"/>
                </right>
                <bottom style="thin">
                  <color theme="0" tint="-0.14993743705557422"/>
                </bottom>
                <vertical/>
                <horizontal/>
              </border>
            </x14:dxf>
          </x14:cfRule>
          <xm:sqref>C60</xm:sqref>
        </x14:conditionalFormatting>
        <x14:conditionalFormatting xmlns:xm="http://schemas.microsoft.com/office/excel/2006/main">
          <x14:cfRule type="expression" priority="918" id="{CDE21CDA-A64D-41AD-A93E-939AF3972FC0}">
            <xm:f>OR($F$59="",$F$59='Backend (to be hidden)'!$BR$3,NOT($F$62='Backend (to be hidden)'!$BV$4))</xm:f>
            <x14:dxf>
              <font>
                <color theme="0" tint="-0.14996795556505021"/>
              </font>
              <fill>
                <patternFill>
                  <bgColor theme="0" tint="-0.14996795556505021"/>
                </patternFill>
              </fill>
              <border>
                <left style="thin">
                  <color theme="0" tint="-0.14996795556505021"/>
                </left>
                <right style="thin">
                  <color theme="0" tint="-0.14996795556505021"/>
                </right>
                <bottom style="thin">
                  <color theme="0" tint="-0.14993743705557422"/>
                </bottom>
                <vertical/>
                <horizontal/>
              </border>
            </x14:dxf>
          </x14:cfRule>
          <xm:sqref>C63</xm:sqref>
        </x14:conditionalFormatting>
        <x14:conditionalFormatting xmlns:xm="http://schemas.microsoft.com/office/excel/2006/main">
          <x14:cfRule type="expression" priority="1353" id="{FE9A14BB-96FF-4027-BBEB-41FF17058C2A}">
            <xm:f>NOT(AND($F$59='Backend (to be hidden)'!$BR$2,NOT('4. Results &amp; Compliance'!$H$13='Backend (to be hidden)'!$CL$12),'2. Project Info'!$D$19&gt;='Backend (to be hidden)'!$CN$11))</xm:f>
            <x14:dxf>
              <font>
                <color theme="0" tint="-0.14996795556505021"/>
              </font>
              <fill>
                <patternFill>
                  <bgColor theme="0" tint="-0.14996795556505021"/>
                </patternFill>
              </fill>
              <border>
                <left style="thin">
                  <color theme="0" tint="-0.14996795556505021"/>
                </left>
                <right style="thin">
                  <color theme="0" tint="-0.14996795556505021"/>
                </right>
                <bottom style="thin">
                  <color theme="0" tint="-0.14993743705557422"/>
                </bottom>
                <vertical/>
                <horizontal/>
              </border>
            </x14:dxf>
          </x14:cfRule>
          <xm:sqref>C64</xm:sqref>
        </x14:conditionalFormatting>
        <x14:conditionalFormatting xmlns:xm="http://schemas.microsoft.com/office/excel/2006/main">
          <x14:cfRule type="expression" priority="223" id="{F605131E-FBCE-42B5-888D-2DD6CBEF3EBB}">
            <xm:f>NOT($F$102='Backend (to be hidden)'!$BR$2)</xm:f>
            <x14:dxf>
              <font>
                <color theme="0" tint="-0.14996795556505021"/>
              </font>
              <fill>
                <patternFill>
                  <bgColor theme="0" tint="-0.14996795556505021"/>
                </patternFill>
              </fill>
              <border>
                <left/>
                <right/>
                <top/>
                <bottom/>
                <vertical/>
                <horizontal/>
              </border>
            </x14:dxf>
          </x14:cfRule>
          <xm:sqref>C103 C104:F104</xm:sqref>
        </x14:conditionalFormatting>
        <x14:conditionalFormatting xmlns:xm="http://schemas.microsoft.com/office/excel/2006/main">
          <x14:cfRule type="expression" priority="256" id="{D8703A71-0074-413B-9BB2-320A73579E0F}">
            <xm:f>NOT($D$13='Backend (to be hidden)'!$BD$7)</xm:f>
            <x14:dxf>
              <font>
                <color theme="0" tint="-0.14996795556505021"/>
              </font>
              <fill>
                <patternFill>
                  <bgColor theme="0" tint="-0.14996795556505021"/>
                </patternFill>
              </fill>
              <border>
                <left style="thin">
                  <color theme="0" tint="-0.14996795556505021"/>
                </left>
                <right style="thin">
                  <color theme="0" tint="-0.14996795556505021"/>
                </right>
              </border>
            </x14:dxf>
          </x14:cfRule>
          <xm:sqref>C14:F14</xm:sqref>
        </x14:conditionalFormatting>
        <x14:conditionalFormatting xmlns:xm="http://schemas.microsoft.com/office/excel/2006/main">
          <x14:cfRule type="expression" priority="194" id="{9194C285-4253-43CE-800F-0328B048DDFD}">
            <xm:f>NOT($D$15='Backend (to be hidden)'!$BD$7)</xm:f>
            <x14:dxf>
              <font>
                <color theme="0" tint="-0.14996795556505021"/>
              </font>
              <fill>
                <patternFill>
                  <bgColor theme="0" tint="-0.14996795556505021"/>
                </patternFill>
              </fill>
              <border>
                <left style="thin">
                  <color theme="0" tint="-0.14996795556505021"/>
                </left>
                <right style="thin">
                  <color theme="0" tint="-0.14996795556505021"/>
                </right>
              </border>
            </x14:dxf>
          </x14:cfRule>
          <xm:sqref>C16:F16</xm:sqref>
        </x14:conditionalFormatting>
        <x14:conditionalFormatting xmlns:xm="http://schemas.microsoft.com/office/excel/2006/main">
          <x14:cfRule type="expression" priority="1674" id="{814AC9D4-1D7C-4CE6-86DC-C834226C90FD}">
            <xm:f>NOT($D$19='Backend (to be hidden)'!$BJ$11)</xm:f>
            <x14:dxf>
              <font>
                <color theme="0" tint="-0.14996795556505021"/>
              </font>
              <fill>
                <patternFill>
                  <bgColor theme="0" tint="-0.14996795556505021"/>
                </patternFill>
              </fill>
              <border>
                <left/>
                <right/>
                <bottom/>
                <vertical/>
                <horizontal/>
              </border>
            </x14:dxf>
          </x14:cfRule>
          <xm:sqref>C21:F21</xm:sqref>
        </x14:conditionalFormatting>
        <x14:conditionalFormatting xmlns:xm="http://schemas.microsoft.com/office/excel/2006/main">
          <x14:cfRule type="expression" priority="1675" id="{C24E18FB-4CED-4D41-B7CF-0695E382349A}">
            <xm:f>NOT($D$19='Backend (to be hidden)'!$BJ$11)</xm:f>
            <x14:dxf>
              <font>
                <color theme="0" tint="-0.14996795556505021"/>
              </font>
              <fill>
                <patternFill>
                  <bgColor theme="0" tint="-0.14996795556505021"/>
                </patternFill>
              </fill>
              <border>
                <left/>
                <right/>
                <top/>
                <bottom/>
                <vertical/>
                <horizontal/>
              </border>
            </x14:dxf>
          </x14:cfRule>
          <xm:sqref>C22:F22</xm:sqref>
        </x14:conditionalFormatting>
        <x14:conditionalFormatting xmlns:xm="http://schemas.microsoft.com/office/excel/2006/main">
          <x14:cfRule type="expression" priority="1708" id="{FDB2A136-12DD-401C-A999-0DAFC3F458BF}">
            <xm:f>NOT($D$24='Backend (to be hidden)'!$BB$11)</xm:f>
            <x14:dxf>
              <font>
                <color theme="0" tint="-0.14996795556505021"/>
              </font>
              <fill>
                <patternFill>
                  <bgColor theme="0" tint="-0.14996795556505021"/>
                </patternFill>
              </fill>
              <border>
                <left/>
                <right/>
                <bottom/>
                <vertical/>
                <horizontal/>
              </border>
            </x14:dxf>
          </x14:cfRule>
          <xm:sqref>C25:F25</xm:sqref>
        </x14:conditionalFormatting>
        <x14:conditionalFormatting xmlns:xm="http://schemas.microsoft.com/office/excel/2006/main">
          <x14:cfRule type="expression" priority="249" id="{7545F18B-B791-407C-BADE-D90B9C8660FC}">
            <xm:f>NOT($F$51='Backend (to be hidden)'!$BR$2)</xm:f>
            <x14:dxf>
              <font>
                <color theme="0" tint="-0.14996795556505021"/>
              </font>
              <fill>
                <patternFill>
                  <bgColor theme="0" tint="-0.14996795556505021"/>
                </patternFill>
              </fill>
              <border>
                <left/>
                <right/>
                <top/>
                <bottom/>
                <vertical/>
                <horizontal/>
              </border>
            </x14:dxf>
          </x14:cfRule>
          <xm:sqref>C53:F54</xm:sqref>
        </x14:conditionalFormatting>
        <x14:conditionalFormatting xmlns:xm="http://schemas.microsoft.com/office/excel/2006/main">
          <x14:cfRule type="expression" priority="1268" id="{1F8F9EE8-9D01-48C6-ADE4-D2D52E66FFA9}">
            <xm:f>NOT($F$59='Backend (to be hidden)'!$BR$2)</xm:f>
            <x14:dxf>
              <font>
                <color theme="0" tint="-0.14996795556505021"/>
              </font>
              <fill>
                <patternFill>
                  <bgColor theme="0" tint="-0.14996795556505021"/>
                </patternFill>
              </fill>
              <border>
                <left/>
                <right/>
                <top/>
                <bottom/>
                <vertical/>
                <horizontal/>
              </border>
            </x14:dxf>
          </x14:cfRule>
          <x14:cfRule type="expression" priority="1345" id="{0F0A739B-8256-445A-A54F-2A56F15E6B33}">
            <xm:f>NOT('4. Results &amp; Compliance'!$H$13='Backend (to be hidden)'!$CL$12)</xm:f>
            <x14:dxf>
              <font>
                <color theme="0" tint="-0.14996795556505021"/>
              </font>
              <fill>
                <patternFill>
                  <bgColor theme="0" tint="-0.14996795556505021"/>
                </patternFill>
              </fill>
              <border>
                <left/>
                <right/>
                <top/>
                <bottom/>
                <vertical/>
                <horizontal/>
              </border>
            </x14:dxf>
          </x14:cfRule>
          <xm:sqref>C62:F63</xm:sqref>
        </x14:conditionalFormatting>
        <x14:conditionalFormatting xmlns:xm="http://schemas.microsoft.com/office/excel/2006/main">
          <x14:cfRule type="expression" priority="1344" id="{06171B91-F03E-4C34-8B72-6E77C1D854A7}">
            <xm:f>'2. Project Info'!$D$19&lt;'Backend (to be hidden)'!$CN$11</xm:f>
            <x14:dxf>
              <font>
                <color theme="0" tint="-0.14996795556505021"/>
              </font>
              <fill>
                <patternFill>
                  <bgColor theme="0" tint="-0.14996795556505021"/>
                </patternFill>
              </fill>
              <border>
                <left/>
                <right/>
                <top/>
                <bottom/>
                <vertical/>
                <horizontal/>
              </border>
            </x14:dxf>
          </x14:cfRule>
          <xm:sqref>C62:F64</xm:sqref>
        </x14:conditionalFormatting>
        <x14:conditionalFormatting xmlns:xm="http://schemas.microsoft.com/office/excel/2006/main">
          <x14:cfRule type="expression" priority="192" id="{2F909F2D-D258-4A5C-8C0A-A1A97068A44F}">
            <xm:f>NOT($D$76='Backend (to be hidden)'!$BR$2)</xm:f>
            <x14:dxf>
              <font>
                <color theme="0" tint="-0.14996795556505021"/>
              </font>
              <fill>
                <patternFill>
                  <bgColor theme="0" tint="-0.14996795556505021"/>
                </patternFill>
              </fill>
              <border>
                <left/>
                <right/>
                <top/>
                <bottom/>
                <vertical/>
                <horizontal/>
              </border>
            </x14:dxf>
          </x14:cfRule>
          <xm:sqref>C78:F78</xm:sqref>
        </x14:conditionalFormatting>
        <x14:conditionalFormatting xmlns:xm="http://schemas.microsoft.com/office/excel/2006/main">
          <x14:cfRule type="expression" priority="1" id="{B7FF7684-92A4-44C1-9CB8-34B48A2DA361}">
            <xm:f>NOT($D$80='Backend (to be hidden)'!$BR$2)</xm:f>
            <x14:dxf>
              <font>
                <color theme="0" tint="-0.14996795556505021"/>
              </font>
              <fill>
                <patternFill>
                  <bgColor theme="0" tint="-0.14996795556505021"/>
                </patternFill>
              </fill>
              <border>
                <left/>
                <right/>
                <top/>
                <bottom/>
                <vertical/>
                <horizontal/>
              </border>
            </x14:dxf>
          </x14:cfRule>
          <xm:sqref>C82:F82</xm:sqref>
        </x14:conditionalFormatting>
        <x14:conditionalFormatting xmlns:xm="http://schemas.microsoft.com/office/excel/2006/main">
          <x14:cfRule type="expression" priority="935" id="{AF6E05CC-FCFF-49F4-85CE-6F097236D7FD}">
            <xm:f>NOT($F$59='Backend (to be hidden)'!$BR$2)</xm:f>
            <x14:dxf>
              <font>
                <color theme="0" tint="-0.14996795556505021"/>
              </font>
              <fill>
                <patternFill>
                  <bgColor theme="0" tint="-0.14996795556505021"/>
                </patternFill>
              </fill>
              <border>
                <left/>
                <right/>
                <top/>
                <bottom/>
                <vertical/>
                <horizontal/>
              </border>
            </x14:dxf>
          </x14:cfRule>
          <xm:sqref>C84:F84</xm:sqref>
        </x14:conditionalFormatting>
        <x14:conditionalFormatting xmlns:xm="http://schemas.microsoft.com/office/excel/2006/main">
          <x14:cfRule type="expression" priority="188" id="{683D20AB-B92D-4066-B51A-50917358C293}">
            <xm:f>NOT($F$106='Backend (to be hidden)'!$BR$2)</xm:f>
            <x14:dxf>
              <font>
                <color theme="0" tint="-0.14996795556505021"/>
              </font>
              <fill>
                <patternFill>
                  <bgColor theme="0" tint="-0.14996795556505021"/>
                </patternFill>
              </fill>
              <border>
                <left/>
                <right/>
                <top/>
                <bottom/>
                <vertical/>
                <horizontal/>
              </border>
            </x14:dxf>
          </x14:cfRule>
          <xm:sqref>C108:F110</xm:sqref>
        </x14:conditionalFormatting>
        <x14:conditionalFormatting xmlns:xm="http://schemas.microsoft.com/office/excel/2006/main">
          <x14:cfRule type="expression" priority="189" id="{91237CE5-CF1A-47E1-A583-4ADC48A7FBD3}">
            <xm:f>NOT($F$106='Backend (to be hidden)'!$BR$2)</xm:f>
            <x14:dxf>
              <font>
                <color theme="0" tint="-0.14996795556505021"/>
              </font>
              <fill>
                <patternFill>
                  <bgColor theme="0" tint="-0.14996795556505021"/>
                </patternFill>
              </fill>
            </x14:dxf>
          </x14:cfRule>
          <xm:sqref>C109:F109</xm:sqref>
        </x14:conditionalFormatting>
        <x14:conditionalFormatting xmlns:xm="http://schemas.microsoft.com/office/excel/2006/main">
          <x14:cfRule type="expression" priority="299" id="{E916CB9C-2175-4A6F-BAB6-83308184FEB6}">
            <xm:f>NOT($F$59='Backend (to be hidden)'!$BR$2)</xm:f>
            <x14:dxf>
              <font>
                <color theme="0" tint="-0.14996795556505021"/>
              </font>
              <fill>
                <patternFill>
                  <bgColor theme="0" tint="-0.14996795556505021"/>
                </patternFill>
              </fill>
            </x14:dxf>
          </x14:cfRule>
          <xm:sqref>D66:D76 D78 D80 D82 C83:F83</xm:sqref>
        </x14:conditionalFormatting>
        <x14:conditionalFormatting xmlns:xm="http://schemas.microsoft.com/office/excel/2006/main">
          <x14:cfRule type="expression" priority="5" id="{65FC7898-329A-4DC2-8DF1-E0867D80EA9B}">
            <xm:f>'2. Project Info'!$D$19&lt;'Backend (to be hidden)'!$CN$11</xm:f>
            <x14:dxf>
              <font>
                <color theme="0" tint="-0.14996795556505021"/>
              </font>
              <fill>
                <patternFill>
                  <bgColor theme="0" tint="-0.14996795556505021"/>
                </patternFill>
              </fill>
              <border>
                <left/>
                <right/>
                <top/>
                <bottom/>
                <vertical/>
                <horizontal/>
              </border>
            </x14:dxf>
          </x14:cfRule>
          <xm:sqref>F34:F40 F47:F49 C62 F62 F65:F76 F79:F80 F89:F92</xm:sqref>
        </x14:conditionalFormatting>
        <x14:conditionalFormatting xmlns:xm="http://schemas.microsoft.com/office/excel/2006/main">
          <x14:cfRule type="expression" priority="1341" id="{038CFD7A-8DDC-4D1A-903A-1E4507245D20}">
            <xm:f>NOT(AND($F$59='Backend (to be hidden)'!$BR$2,$F$62='Backend (to be hidden)'!$BV$4,'4. Results &amp; Compliance'!$H$13='Backend (to be hidden)'!$CL$12))</xm:f>
            <x14:dxf>
              <fill>
                <patternFill>
                  <bgColor theme="0" tint="-0.14996795556505021"/>
                </patternFill>
              </fill>
            </x14:dxf>
          </x14:cfRule>
          <xm:sqref>F66:F76 F80</xm:sqref>
        </x14:conditionalFormatting>
        <x14:conditionalFormatting xmlns:xm="http://schemas.microsoft.com/office/excel/2006/main">
          <x14:cfRule type="expression" priority="6" id="{32DE36A9-151B-4FE1-BB5D-5577FF4AFE31}">
            <xm:f>NOT(D66='Backend (to be hidden)'!$BR$2)</xm:f>
            <x14:dxf>
              <fill>
                <patternFill>
                  <bgColor theme="0" tint="-0.14996795556505021"/>
                </patternFill>
              </fill>
            </x14:dxf>
          </x14:cfRule>
          <x14:cfRule type="expression" priority="919" id="{AE93F737-8964-4470-B0B2-D75BDE697D71}">
            <xm:f>NOT($F$59='Backend (to be hidden)'!$BR$2)</xm:f>
            <x14:dxf>
              <font>
                <color theme="0" tint="-0.14996795556505021"/>
              </font>
              <fill>
                <patternFill>
                  <bgColor theme="0" tint="-0.14996795556505021"/>
                </patternFill>
              </fill>
            </x14:dxf>
          </x14:cfRule>
          <xm:sqref>F66:F76</xm:sqref>
        </x14:conditionalFormatting>
        <x14:conditionalFormatting xmlns:xm="http://schemas.microsoft.com/office/excel/2006/main">
          <x14:cfRule type="expression" priority="4" id="{E04118FF-8DE3-4383-BD9E-5FA9A0E55D2D}">
            <xm:f>NOT(D80='Backend (to be hidden)'!$BR$2)</xm:f>
            <x14:dxf>
              <fill>
                <patternFill>
                  <bgColor theme="0" tint="-0.14996795556505021"/>
                </patternFill>
              </fill>
            </x14:dxf>
          </x14:cfRule>
          <x14:cfRule type="expression" priority="298" id="{B55E4A5E-3874-42BE-842A-1A6E4E7CAC3E}">
            <xm:f>NOT($F$59='Backend (to be hidden)'!$BR$2)</xm:f>
            <x14:dxf>
              <font>
                <color theme="0" tint="-0.14996795556505021"/>
              </font>
              <fill>
                <patternFill>
                  <bgColor theme="0" tint="-0.14996795556505021"/>
                </patternFill>
              </fill>
            </x14:dxf>
          </x14:cfRule>
          <xm:sqref>F80</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B000000}">
          <x14:formula1>
            <xm:f>'Backend (to be hidden)'!$BR$2:$BR$3</xm:f>
          </x14:formula1>
          <xm:sqref>D35</xm:sqref>
        </x14:dataValidation>
        <x14:dataValidation type="list" allowBlank="1" showInputMessage="1" showErrorMessage="1" xr:uid="{D95DFAF8-EEBF-4E33-BF41-51BFCCFFF4AE}">
          <x14:formula1>
            <xm:f>'Backend (to be hidden)'!$BF$2:$BF$3</xm:f>
          </x14:formula1>
          <xm:sqref>D17:F17</xm:sqref>
        </x14:dataValidation>
        <x14:dataValidation type="list" allowBlank="1" showInputMessage="1" showErrorMessage="1" xr:uid="{4873DB9F-7C7D-4965-995C-7BF228B48ED1}">
          <x14:formula1>
            <xm:f>'Backend (to be hidden)'!$BJ$2:$BJ$11</xm:f>
          </x14:formula1>
          <xm:sqref>D19:F19</xm:sqref>
        </x14:dataValidation>
        <x14:dataValidation type="list" allowBlank="1" showInputMessage="1" showErrorMessage="1" xr:uid="{05DA733F-B3E0-400D-BEF5-3816DCB3100E}">
          <x14:formula1>
            <xm:f>'Backend (to be hidden)'!$DD$2</xm:f>
          </x14:formula1>
          <xm:sqref>F108 D20</xm:sqref>
        </x14:dataValidation>
        <x14:dataValidation type="list" allowBlank="1" showInputMessage="1" showErrorMessage="1" xr:uid="{2103A79B-36E5-4A3B-AF47-156E3BF8AB66}">
          <x14:formula1>
            <xm:f>'Backend (to be hidden)'!$CL$11:$CL$12</xm:f>
          </x14:formula1>
          <xm:sqref>D18:F18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A1:T108"/>
  <sheetViews>
    <sheetView topLeftCell="A18" workbookViewId="0">
      <selection activeCell="E27" sqref="E27:H27"/>
    </sheetView>
  </sheetViews>
  <sheetFormatPr defaultColWidth="0" defaultRowHeight="15" zeroHeight="1"/>
  <cols>
    <col min="1" max="2" width="0.7109375" style="28" customWidth="1"/>
    <col min="3" max="4" width="18.7109375" style="184" customWidth="1"/>
    <col min="5" max="5" width="16.7109375" style="28" customWidth="1"/>
    <col min="6" max="6" width="6.5703125" style="28" hidden="1" customWidth="1"/>
    <col min="7" max="8" width="16.7109375" style="28" customWidth="1"/>
    <col min="9" max="9" width="0.7109375" style="28" customWidth="1"/>
    <col min="10" max="10" width="20.7109375" style="17" customWidth="1"/>
    <col min="11" max="12" width="20.7109375" style="6" customWidth="1"/>
    <col min="13" max="20" width="0" style="28" hidden="1" customWidth="1"/>
    <col min="21" max="16384" width="10.7109375" style="28" hidden="1"/>
  </cols>
  <sheetData>
    <row r="1" spans="1:16" s="33" customFormat="1" ht="6" customHeight="1" thickBot="1">
      <c r="A1" s="29"/>
      <c r="B1" s="29"/>
      <c r="C1" s="163"/>
      <c r="D1" s="163"/>
      <c r="E1" s="29"/>
      <c r="F1" s="29"/>
      <c r="G1" s="29"/>
      <c r="H1" s="29"/>
      <c r="I1" s="29"/>
      <c r="J1" s="17"/>
      <c r="K1" s="5"/>
      <c r="L1" s="5"/>
    </row>
    <row r="2" spans="1:16" s="33" customFormat="1" ht="30.75" customHeight="1">
      <c r="A2" s="29"/>
      <c r="B2" s="31"/>
      <c r="C2" s="758" t="s">
        <v>218</v>
      </c>
      <c r="D2" s="758"/>
      <c r="E2" s="758"/>
      <c r="F2" s="758"/>
      <c r="G2" s="758"/>
      <c r="H2" s="758"/>
      <c r="I2" s="759"/>
      <c r="J2" s="19"/>
      <c r="K2" s="4"/>
      <c r="L2" s="4"/>
      <c r="M2" s="32"/>
      <c r="N2" s="32"/>
      <c r="O2" s="32"/>
      <c r="P2" s="32"/>
    </row>
    <row r="3" spans="1:16" s="33" customFormat="1" ht="15" customHeight="1">
      <c r="A3" s="29"/>
      <c r="B3" s="34"/>
      <c r="C3" s="133"/>
      <c r="D3" s="133"/>
      <c r="E3" s="133"/>
      <c r="F3" s="133"/>
      <c r="G3" s="133"/>
      <c r="H3" s="36" t="s">
        <v>545</v>
      </c>
      <c r="I3" s="134"/>
      <c r="J3" s="17"/>
      <c r="K3" s="4"/>
      <c r="L3" s="4"/>
      <c r="M3" s="32"/>
      <c r="N3" s="32"/>
      <c r="O3" s="32"/>
      <c r="P3" s="32"/>
    </row>
    <row r="4" spans="1:16" s="33" customFormat="1" ht="15" customHeight="1">
      <c r="A4" s="29"/>
      <c r="B4" s="39"/>
      <c r="C4" s="794" t="s">
        <v>85</v>
      </c>
      <c r="D4" s="794"/>
      <c r="E4" s="794"/>
      <c r="F4" s="610"/>
      <c r="G4" s="40"/>
      <c r="H4" s="219" t="s">
        <v>1611</v>
      </c>
      <c r="I4" s="42"/>
      <c r="J4" s="17"/>
      <c r="K4" s="4"/>
      <c r="L4" s="4"/>
      <c r="M4" s="32"/>
      <c r="N4" s="32"/>
      <c r="O4" s="32"/>
      <c r="P4" s="32"/>
    </row>
    <row r="5" spans="1:16" ht="15" customHeight="1" thickBot="1">
      <c r="A5" s="29"/>
      <c r="B5" s="43"/>
      <c r="C5" s="135"/>
      <c r="D5" s="135"/>
      <c r="E5" s="45"/>
      <c r="F5" s="45"/>
      <c r="G5" s="45"/>
      <c r="H5" s="45"/>
      <c r="I5" s="46"/>
    </row>
    <row r="6" spans="1:16" s="33" customFormat="1" ht="15" customHeight="1">
      <c r="A6" s="29"/>
      <c r="B6" s="136"/>
      <c r="C6" s="795" t="s">
        <v>0</v>
      </c>
      <c r="D6" s="795"/>
      <c r="E6" s="795"/>
      <c r="F6" s="795"/>
      <c r="G6" s="795"/>
      <c r="H6" s="795"/>
      <c r="I6" s="832"/>
      <c r="J6" s="17"/>
      <c r="K6" s="7"/>
      <c r="L6" s="7"/>
      <c r="M6" s="51"/>
      <c r="N6" s="51"/>
      <c r="O6" s="51"/>
      <c r="P6" s="51"/>
    </row>
    <row r="7" spans="1:16" s="33" customFormat="1" ht="121.5" customHeight="1">
      <c r="A7" s="29"/>
      <c r="B7" s="49"/>
      <c r="C7" s="760" t="s">
        <v>1473</v>
      </c>
      <c r="D7" s="760"/>
      <c r="E7" s="760"/>
      <c r="F7" s="760"/>
      <c r="G7" s="760"/>
      <c r="H7" s="760"/>
      <c r="I7" s="833"/>
      <c r="J7" s="17"/>
      <c r="K7" s="7"/>
      <c r="L7" s="7"/>
      <c r="M7" s="51"/>
      <c r="N7" s="51"/>
      <c r="O7" s="51"/>
      <c r="P7" s="51"/>
    </row>
    <row r="8" spans="1:16" ht="8.1" customHeight="1" thickBot="1">
      <c r="A8" s="29"/>
      <c r="B8" s="43"/>
      <c r="C8" s="135"/>
      <c r="D8" s="135"/>
      <c r="E8" s="45"/>
      <c r="F8" s="45"/>
      <c r="G8" s="45"/>
      <c r="H8" s="45"/>
      <c r="I8" s="46"/>
    </row>
    <row r="9" spans="1:16" ht="15" customHeight="1">
      <c r="A9" s="29"/>
      <c r="B9" s="31"/>
      <c r="C9" s="777" t="s">
        <v>86</v>
      </c>
      <c r="D9" s="777"/>
      <c r="E9" s="777"/>
      <c r="F9" s="777"/>
      <c r="G9" s="777"/>
      <c r="H9" s="777"/>
      <c r="I9" s="778"/>
    </row>
    <row r="10" spans="1:16" ht="8.1" customHeight="1">
      <c r="A10" s="29"/>
      <c r="B10" s="43"/>
      <c r="C10" s="164"/>
      <c r="D10" s="164"/>
      <c r="E10" s="139"/>
      <c r="F10" s="139"/>
      <c r="G10" s="139"/>
      <c r="H10" s="139"/>
      <c r="I10" s="140"/>
    </row>
    <row r="11" spans="1:16" ht="55.5" customHeight="1">
      <c r="A11" s="29"/>
      <c r="B11" s="43"/>
      <c r="C11" s="857" t="str">
        <f>IF('2. Project Info'!D19="","Specify Projected Date of First Building Permit Application in 2. Project Info sheet.",IF('2. Project Info'!D19&lt;'Backend (to be hidden)'!CN11,"There are no compliance requirements before October 1, 2023.","The embodied carbon limit of the proposed design should be equal or less than double the benchmark, which is set based on the compliance path. Note that 2025 reductions have been delayed."))</f>
        <v>The embodied carbon limit of the proposed design should be equal or less than double the benchmark, which is set based on the compliance path. Note that 2025 reductions have been delayed.</v>
      </c>
      <c r="D11" s="857"/>
      <c r="E11" s="857"/>
      <c r="F11" s="857"/>
      <c r="G11" s="857"/>
      <c r="H11" s="857"/>
      <c r="I11" s="140"/>
    </row>
    <row r="12" spans="1:16" ht="8.1" customHeight="1">
      <c r="A12" s="29"/>
      <c r="B12" s="43"/>
      <c r="C12" s="164"/>
      <c r="D12" s="164"/>
      <c r="E12" s="139"/>
      <c r="F12" s="139"/>
      <c r="G12" s="139"/>
      <c r="H12" s="139"/>
      <c r="I12" s="140"/>
    </row>
    <row r="13" spans="1:16" ht="15" customHeight="1">
      <c r="A13" s="29"/>
      <c r="B13" s="141"/>
      <c r="C13" s="855" t="s">
        <v>87</v>
      </c>
      <c r="D13" s="855"/>
      <c r="E13" s="855"/>
      <c r="F13" s="855"/>
      <c r="G13" s="856"/>
      <c r="H13" s="703" t="str">
        <f>IF('3. EC Modelling Info'!D18="","",'3. EC Modelling Info'!D18)</f>
        <v>Intensity Limit Path</v>
      </c>
      <c r="I13" s="155"/>
      <c r="J13" s="209"/>
    </row>
    <row r="14" spans="1:16" ht="8.1" customHeight="1">
      <c r="A14" s="29"/>
      <c r="B14" s="43"/>
      <c r="C14" s="164"/>
      <c r="D14" s="164"/>
      <c r="E14" s="164"/>
      <c r="F14" s="164"/>
      <c r="G14" s="139"/>
      <c r="H14" s="139"/>
      <c r="I14" s="140"/>
    </row>
    <row r="15" spans="1:16" ht="15" customHeight="1">
      <c r="A15" s="29"/>
      <c r="B15" s="165"/>
      <c r="C15" s="846" t="s">
        <v>41</v>
      </c>
      <c r="D15" s="846"/>
      <c r="E15" s="846"/>
      <c r="F15" s="846"/>
      <c r="G15" s="846"/>
      <c r="H15" s="166">
        <f>IF('2. Project Info'!D41="","",'2. Project Info'!D41)</f>
        <v>5000</v>
      </c>
      <c r="I15" s="155"/>
    </row>
    <row r="16" spans="1:16" ht="15" customHeight="1">
      <c r="A16" s="29"/>
      <c r="B16" s="165"/>
      <c r="C16" s="623"/>
      <c r="D16" s="623"/>
      <c r="E16" s="623"/>
      <c r="F16" s="623"/>
      <c r="G16" s="604" t="s">
        <v>1503</v>
      </c>
      <c r="H16" s="622">
        <f>'2. Project Info'!D19</f>
        <v>45931</v>
      </c>
      <c r="I16" s="155"/>
    </row>
    <row r="17" spans="1:11" ht="8.1" customHeight="1" thickBot="1">
      <c r="A17" s="29"/>
      <c r="B17" s="145"/>
      <c r="C17" s="146"/>
      <c r="D17" s="146"/>
      <c r="E17" s="56"/>
      <c r="F17" s="56"/>
      <c r="G17" s="56"/>
      <c r="H17" s="56"/>
      <c r="I17" s="46"/>
    </row>
    <row r="18" spans="1:11" ht="15" customHeight="1">
      <c r="A18" s="29"/>
      <c r="B18" s="31"/>
      <c r="C18" s="777" t="s">
        <v>88</v>
      </c>
      <c r="D18" s="777"/>
      <c r="E18" s="777"/>
      <c r="F18" s="777"/>
      <c r="G18" s="777"/>
      <c r="H18" s="777"/>
      <c r="I18" s="169"/>
    </row>
    <row r="19" spans="1:11" ht="8.1" customHeight="1">
      <c r="A19" s="29"/>
      <c r="B19" s="34"/>
      <c r="C19" s="858"/>
      <c r="D19" s="858"/>
      <c r="E19" s="858"/>
      <c r="F19" s="858"/>
      <c r="G19" s="858"/>
      <c r="H19" s="858"/>
      <c r="I19" s="155"/>
    </row>
    <row r="20" spans="1:11" ht="15" customHeight="1">
      <c r="A20" s="29"/>
      <c r="B20" s="141"/>
      <c r="C20" s="854" t="s">
        <v>93</v>
      </c>
      <c r="D20" s="854"/>
      <c r="E20" s="854"/>
      <c r="F20" s="854"/>
      <c r="G20" s="854"/>
      <c r="H20" s="854"/>
      <c r="I20" s="48"/>
    </row>
    <row r="21" spans="1:11" ht="8.1" customHeight="1">
      <c r="A21" s="29"/>
      <c r="B21" s="43"/>
      <c r="C21" s="164"/>
      <c r="D21" s="164"/>
      <c r="E21" s="139"/>
      <c r="F21" s="139"/>
      <c r="G21" s="139"/>
      <c r="H21" s="139"/>
      <c r="I21" s="140"/>
    </row>
    <row r="22" spans="1:11" ht="52.5" customHeight="1">
      <c r="A22" s="29"/>
      <c r="B22" s="34"/>
      <c r="C22" s="866" t="s">
        <v>94</v>
      </c>
      <c r="D22" s="867"/>
      <c r="E22" s="863" t="str">
        <f>'Backend (to be hidden)'!CM7</f>
        <v>Yes</v>
      </c>
      <c r="F22" s="864"/>
      <c r="G22" s="864"/>
      <c r="H22" s="865"/>
      <c r="I22" s="155"/>
      <c r="J22" s="209"/>
    </row>
    <row r="23" spans="1:11" ht="15" customHeight="1">
      <c r="A23" s="29"/>
      <c r="B23" s="34"/>
      <c r="C23" s="175"/>
      <c r="D23" s="175"/>
      <c r="E23" s="175"/>
      <c r="F23" s="175"/>
      <c r="G23" s="175"/>
      <c r="H23" s="175"/>
      <c r="I23" s="155"/>
    </row>
    <row r="24" spans="1:11" ht="15" customHeight="1">
      <c r="A24" s="29"/>
      <c r="B24" s="141"/>
      <c r="C24" s="859" t="s">
        <v>95</v>
      </c>
      <c r="D24" s="859"/>
      <c r="E24" s="847">
        <f>'Backend (to be hidden)'!CM8</f>
        <v>-1</v>
      </c>
      <c r="F24" s="848"/>
      <c r="G24" s="848"/>
      <c r="H24" s="849"/>
      <c r="I24" s="155"/>
      <c r="K24" s="306"/>
    </row>
    <row r="25" spans="1:11" ht="15" hidden="1" customHeight="1">
      <c r="A25" s="29"/>
      <c r="B25" s="141"/>
      <c r="C25" s="58"/>
      <c r="D25" s="58"/>
      <c r="E25" s="58"/>
      <c r="F25" s="58"/>
      <c r="G25" s="58"/>
      <c r="H25" s="58"/>
      <c r="I25" s="155"/>
      <c r="K25" s="306"/>
    </row>
    <row r="26" spans="1:11" ht="15" customHeight="1">
      <c r="A26" s="29"/>
      <c r="B26" s="141"/>
      <c r="C26" s="859" t="s">
        <v>1269</v>
      </c>
      <c r="D26" s="834"/>
      <c r="E26" s="847">
        <f>'Backend (to be hidden)'!CM9</f>
        <v>-1.05</v>
      </c>
      <c r="F26" s="848"/>
      <c r="G26" s="848"/>
      <c r="H26" s="849"/>
      <c r="I26" s="155"/>
      <c r="J26" s="209"/>
      <c r="K26" s="306"/>
    </row>
    <row r="27" spans="1:11" ht="15" customHeight="1">
      <c r="A27" s="29"/>
      <c r="B27" s="34"/>
      <c r="C27" s="834" t="s">
        <v>96</v>
      </c>
      <c r="D27" s="834"/>
      <c r="E27" s="847">
        <f>IFERROR(IF($H$13="","",1-E32/G32),"")</f>
        <v>0.53224103360095143</v>
      </c>
      <c r="F27" s="848"/>
      <c r="G27" s="848"/>
      <c r="H27" s="849"/>
      <c r="I27" s="155"/>
    </row>
    <row r="28" spans="1:11" ht="8.1" customHeight="1">
      <c r="A28" s="29"/>
      <c r="B28" s="34"/>
      <c r="C28" s="175"/>
      <c r="D28" s="175"/>
      <c r="E28" s="175"/>
      <c r="F28" s="175"/>
      <c r="G28" s="175"/>
      <c r="H28" s="175"/>
      <c r="I28" s="155"/>
    </row>
    <row r="29" spans="1:11" ht="15" customHeight="1">
      <c r="A29" s="29"/>
      <c r="B29" s="141"/>
      <c r="C29" s="850" t="s">
        <v>1516</v>
      </c>
      <c r="D29" s="850"/>
      <c r="E29" s="850"/>
      <c r="F29" s="850"/>
      <c r="G29" s="850"/>
      <c r="H29" s="850"/>
      <c r="I29" s="48"/>
      <c r="J29" s="20"/>
    </row>
    <row r="30" spans="1:11" ht="8.1" customHeight="1">
      <c r="A30" s="29"/>
      <c r="B30" s="34"/>
      <c r="C30" s="175"/>
      <c r="D30" s="175"/>
      <c r="E30" s="175"/>
      <c r="F30" s="175"/>
      <c r="G30" s="175"/>
      <c r="H30" s="175"/>
      <c r="I30" s="155"/>
    </row>
    <row r="31" spans="1:11" ht="15" customHeight="1">
      <c r="A31" s="29"/>
      <c r="B31" s="52"/>
      <c r="C31" s="47"/>
      <c r="D31" s="657"/>
      <c r="E31" s="59" t="s">
        <v>89</v>
      </c>
      <c r="F31" s="59"/>
      <c r="G31" s="170" t="s">
        <v>90</v>
      </c>
      <c r="H31" s="59" t="s">
        <v>91</v>
      </c>
      <c r="I31" s="155"/>
    </row>
    <row r="32" spans="1:11" ht="30.75" customHeight="1">
      <c r="A32" s="29"/>
      <c r="B32" s="141"/>
      <c r="C32" s="843" t="s">
        <v>92</v>
      </c>
      <c r="D32" s="747"/>
      <c r="E32" s="171">
        <f>'Backend (to be hidden)'!CM3</f>
        <v>935517.93279809714</v>
      </c>
      <c r="F32" s="171"/>
      <c r="G32" s="172">
        <f>'Backend (to be hidden)'!CM5</f>
        <v>2000000</v>
      </c>
      <c r="H32" s="171">
        <f>'Backend (to be hidden)'!CM6</f>
        <v>4099999.9999999995</v>
      </c>
      <c r="I32" s="155"/>
      <c r="J32" s="209"/>
    </row>
    <row r="33" spans="1:19" ht="45" customHeight="1">
      <c r="A33" s="29"/>
      <c r="B33" s="141"/>
      <c r="C33" s="844" t="s">
        <v>1412</v>
      </c>
      <c r="D33" s="845"/>
      <c r="E33" s="173">
        <f>IFERROR(E32/$H$15,"")</f>
        <v>187.10358655961943</v>
      </c>
      <c r="F33" s="173"/>
      <c r="G33" s="174">
        <f>IFERROR(G32/$H$15,"")</f>
        <v>400</v>
      </c>
      <c r="H33" s="173">
        <f>IFERROR(H32/$H$15,"")</f>
        <v>819.99999999999989</v>
      </c>
      <c r="I33" s="155"/>
      <c r="J33" s="652"/>
    </row>
    <row r="34" spans="1:19" ht="8.1" customHeight="1" thickBot="1">
      <c r="A34" s="29"/>
      <c r="B34" s="34"/>
      <c r="C34" s="175"/>
      <c r="D34" s="175"/>
      <c r="E34" s="175"/>
      <c r="F34" s="175"/>
      <c r="G34" s="175"/>
      <c r="H34" s="175"/>
      <c r="I34" s="155"/>
    </row>
    <row r="35" spans="1:19" ht="15" customHeight="1">
      <c r="B35" s="31"/>
      <c r="C35" s="777" t="s">
        <v>97</v>
      </c>
      <c r="D35" s="777"/>
      <c r="E35" s="777"/>
      <c r="F35" s="777"/>
      <c r="G35" s="777"/>
      <c r="H35" s="777"/>
      <c r="I35" s="778"/>
    </row>
    <row r="36" spans="1:19" ht="15" customHeight="1">
      <c r="B36" s="65"/>
      <c r="C36" s="854" t="s">
        <v>98</v>
      </c>
      <c r="D36" s="854"/>
      <c r="E36" s="854"/>
      <c r="F36" s="854"/>
      <c r="G36" s="854"/>
      <c r="H36" s="854"/>
      <c r="I36" s="147"/>
    </row>
    <row r="37" spans="1:19" ht="8.1" customHeight="1">
      <c r="A37" s="29"/>
      <c r="B37" s="34"/>
      <c r="C37" s="61"/>
      <c r="D37" s="616"/>
      <c r="E37" s="47"/>
      <c r="F37" s="617"/>
      <c r="G37" s="47"/>
      <c r="H37" s="47"/>
      <c r="I37" s="48"/>
    </row>
    <row r="38" spans="1:19" ht="15" customHeight="1">
      <c r="A38" s="29"/>
      <c r="B38" s="148"/>
      <c r="C38" s="159"/>
      <c r="D38" s="159"/>
      <c r="E38" s="178" t="str">
        <f>IF('2. Project Info'!D19&lt;'Backend (to be hidden)'!CN11,"(Reporting)",IF('4. Results &amp; Compliance'!$H$13="","",IF('4. Results &amp; Compliance'!$H$13='Backend (to be hidden)'!$CL$11,"(Compliance)",IF(OR('3. EC Modelling Info'!$F$59="",'3. EC Modelling Info'!$F$59='Backend (to be hidden)'!$BR$3,AND('3. EC Modelling Info'!$F$59='Backend (to be hidden)'!$BR$2,'3. EC Modelling Info'!$F$62='Backend (to be hidden)'!$BV$2),AND('3. EC Modelling Info'!$F$59='Backend (to be hidden)'!$BR$2,'3. EC Modelling Info'!$F$62="")),"(Compliance)","(Reporting)"))))</f>
        <v>(Compliance)</v>
      </c>
      <c r="F38" s="618"/>
      <c r="G38" s="179" t="str">
        <f>IF(OR('4. Results &amp; Compliance'!$H$13="",'3. EC Modelling Info'!$F$59=""),"",IF(AND('4. Results &amp; Compliance'!H13='Backend (to be hidden)'!CL12,'3. EC Modelling Info'!F59='Backend (to be hidden)'!BR2,'3. EC Modelling Info'!$F$62='Backend (to be hidden)'!$BV$4),"(Compliance)",""))</f>
        <v/>
      </c>
      <c r="H38" s="178" t="str">
        <f>IF('2. Project Info'!D19&lt;'Backend (to be hidden)'!CN11,"(Reporting)",IF(E38="(Compliance)","(Reporting)",IF(G38="(Compliance)","(Reporting)",IF(AND(E38="(Reporting)",G38=""),"(Compliance)",""))))</f>
        <v>(Reporting)</v>
      </c>
      <c r="I38" s="150"/>
      <c r="J38" s="209"/>
    </row>
    <row r="39" spans="1:19" ht="30" customHeight="1">
      <c r="A39" s="29"/>
      <c r="B39" s="148"/>
      <c r="C39" s="159"/>
      <c r="D39" s="159"/>
      <c r="E39" s="149" t="s">
        <v>458</v>
      </c>
      <c r="F39" s="638"/>
      <c r="G39" s="180" t="s">
        <v>471</v>
      </c>
      <c r="H39" s="149" t="s">
        <v>472</v>
      </c>
      <c r="I39" s="150"/>
      <c r="J39" s="209"/>
      <c r="S39" s="177"/>
    </row>
    <row r="40" spans="1:19" ht="15" customHeight="1">
      <c r="A40" s="29"/>
      <c r="B40" s="141"/>
      <c r="C40" s="851" t="s">
        <v>1471</v>
      </c>
      <c r="D40" s="852"/>
      <c r="E40" s="852"/>
      <c r="F40" s="852"/>
      <c r="G40" s="852"/>
      <c r="H40" s="853"/>
      <c r="I40" s="150"/>
      <c r="J40" s="6"/>
    </row>
    <row r="41" spans="1:19" ht="8.1" customHeight="1">
      <c r="A41" s="29"/>
      <c r="B41" s="34"/>
      <c r="C41" s="61"/>
      <c r="D41" s="616"/>
      <c r="E41" s="47"/>
      <c r="F41" s="617"/>
      <c r="G41" s="47"/>
      <c r="H41" s="47"/>
      <c r="I41" s="150"/>
    </row>
    <row r="42" spans="1:19" ht="15" customHeight="1">
      <c r="A42" s="29"/>
      <c r="B42" s="34"/>
      <c r="C42" s="846" t="s">
        <v>99</v>
      </c>
      <c r="D42" s="747"/>
      <c r="E42" s="18"/>
      <c r="F42" s="18"/>
      <c r="G42" s="22"/>
      <c r="H42" s="22"/>
      <c r="I42" s="150"/>
    </row>
    <row r="43" spans="1:19" ht="15" customHeight="1">
      <c r="A43" s="29"/>
      <c r="B43" s="141"/>
      <c r="C43" s="843" t="s">
        <v>434</v>
      </c>
      <c r="D43" s="747"/>
      <c r="E43" s="18">
        <v>395124.3</v>
      </c>
      <c r="F43" s="18"/>
      <c r="G43" s="22"/>
      <c r="H43" s="18">
        <v>406978.02899999998</v>
      </c>
      <c r="I43" s="155"/>
      <c r="J43" s="209"/>
    </row>
    <row r="44" spans="1:19" ht="15" customHeight="1">
      <c r="A44" s="29"/>
      <c r="B44" s="141"/>
      <c r="C44" s="846" t="s">
        <v>470</v>
      </c>
      <c r="D44" s="747"/>
      <c r="E44" s="18">
        <v>56130.69</v>
      </c>
      <c r="F44" s="18"/>
      <c r="G44" s="18" t="str">
        <f>IF('3. EC Modelling Info'!$D36='Backend (to be hidden)'!$BT$3,G$43*'Backend (to be hidden)'!$BY2,"")</f>
        <v/>
      </c>
      <c r="H44" s="18">
        <v>57814.610700000005</v>
      </c>
      <c r="I44" s="155"/>
      <c r="J44" s="506"/>
    </row>
    <row r="45" spans="1:19" ht="15" customHeight="1">
      <c r="A45" s="29"/>
      <c r="B45" s="141"/>
      <c r="C45" s="846" t="s">
        <v>484</v>
      </c>
      <c r="D45" s="747"/>
      <c r="E45" s="18">
        <v>70474.2</v>
      </c>
      <c r="F45" s="18"/>
      <c r="G45" s="18" t="str">
        <f>IF('3. EC Modelling Info'!$D37='Backend (to be hidden)'!$BT$3,G$43*'Backend (to be hidden)'!$BY3,"")</f>
        <v/>
      </c>
      <c r="H45" s="18">
        <v>72588.425999999992</v>
      </c>
      <c r="I45" s="155"/>
    </row>
    <row r="46" spans="1:19" ht="15" customHeight="1">
      <c r="A46" s="29"/>
      <c r="B46" s="141"/>
      <c r="C46" s="843" t="s">
        <v>436</v>
      </c>
      <c r="D46" s="747"/>
      <c r="E46" s="18">
        <v>75015.199999999997</v>
      </c>
      <c r="F46" s="18"/>
      <c r="G46" s="22" t="str">
        <f>IF('3. EC Modelling Info'!$D38='Backend (to be hidden)'!$BT$3,G$43*'Backend (to be hidden)'!$BY4,"")</f>
        <v/>
      </c>
      <c r="H46" s="18">
        <v>77265.656000000003</v>
      </c>
      <c r="I46" s="155"/>
    </row>
    <row r="47" spans="1:19" ht="15" customHeight="1">
      <c r="A47" s="29"/>
      <c r="B47" s="141"/>
      <c r="C47" s="843" t="s">
        <v>437</v>
      </c>
      <c r="D47" s="747"/>
      <c r="E47" s="18">
        <v>435598.9</v>
      </c>
      <c r="F47" s="18"/>
      <c r="G47" s="22" t="str">
        <f>IF('3. EC Modelling Info'!$D39='Backend (to be hidden)'!$BT$3,G$43*'Backend (to be hidden)'!$BY5,"")</f>
        <v/>
      </c>
      <c r="H47" s="18">
        <v>448666.86700000003</v>
      </c>
      <c r="I47" s="155"/>
    </row>
    <row r="48" spans="1:19" ht="15" customHeight="1">
      <c r="A48" s="29"/>
      <c r="B48" s="141"/>
      <c r="C48" s="846" t="s">
        <v>477</v>
      </c>
      <c r="D48" s="747"/>
      <c r="E48" s="27">
        <f>IF(E43="","",SUM(E43:E47))</f>
        <v>1032343.29</v>
      </c>
      <c r="F48" s="611"/>
      <c r="G48" s="27" t="str">
        <f>IF(G43="","",SUM(G43:G47))</f>
        <v/>
      </c>
      <c r="H48" s="27">
        <f>IF(H43="","",SUM(H43:H47))</f>
        <v>1063313.5887</v>
      </c>
      <c r="I48" s="155"/>
      <c r="K48" s="485"/>
    </row>
    <row r="49" spans="1:10" ht="15" customHeight="1">
      <c r="A49" s="29"/>
      <c r="B49" s="141"/>
      <c r="C49" s="656"/>
      <c r="D49" s="656"/>
      <c r="E49" s="561"/>
      <c r="F49" s="616"/>
      <c r="G49" s="561"/>
      <c r="H49" s="561"/>
      <c r="I49" s="155"/>
    </row>
    <row r="50" spans="1:10" ht="15" customHeight="1">
      <c r="A50" s="29"/>
      <c r="B50" s="141"/>
      <c r="C50" s="846" t="s">
        <v>478</v>
      </c>
      <c r="D50" s="747"/>
      <c r="E50" s="499"/>
      <c r="F50" s="612"/>
      <c r="G50" s="256"/>
      <c r="H50" s="256"/>
      <c r="I50" s="155"/>
      <c r="J50" s="209"/>
    </row>
    <row r="51" spans="1:10" ht="15" customHeight="1">
      <c r="A51" s="29"/>
      <c r="B51" s="141"/>
      <c r="C51" s="656"/>
      <c r="D51" s="656"/>
      <c r="E51" s="561"/>
      <c r="F51" s="616"/>
      <c r="G51" s="561"/>
      <c r="H51" s="561"/>
      <c r="I51" s="155"/>
    </row>
    <row r="52" spans="1:10" ht="15" customHeight="1">
      <c r="A52" s="29"/>
      <c r="B52" s="141"/>
      <c r="C52" s="843" t="s">
        <v>569</v>
      </c>
      <c r="D52" s="843"/>
      <c r="E52" s="268">
        <f>IF(AND('3. EC Modelling Info'!F90="Yes",'6. Carbon Storage'!D19="None",E38="(Compliance)"),'6. Carbon Storage'!$H$25,"")</f>
        <v>-96825.357201902851</v>
      </c>
      <c r="F52" s="268"/>
      <c r="G52" s="268" t="str">
        <f>IF(AND('3. EC Modelling Info'!F62="Partial",'6. Carbon Storage'!D19="Partial",G38="(Compliance)"),'6. Carbon Storage'!$H$25,"")</f>
        <v/>
      </c>
      <c r="H52" s="268" t="str">
        <f>IF(AND('3. EC Modelling Info'!F59="Yes",'6. Carbon Storage'!D19="All",H38="(Compliance)"),'6. Carbon Storage'!$H$25,"")</f>
        <v/>
      </c>
      <c r="I52" s="155"/>
      <c r="J52" s="209"/>
    </row>
    <row r="53" spans="1:10" ht="8.1" customHeight="1">
      <c r="A53" s="29"/>
      <c r="B53" s="141"/>
      <c r="C53" s="656"/>
      <c r="D53" s="656"/>
      <c r="E53" s="581"/>
      <c r="F53" s="616"/>
      <c r="G53" s="581"/>
      <c r="H53" s="581"/>
      <c r="I53" s="155"/>
    </row>
    <row r="54" spans="1:10" ht="15" customHeight="1">
      <c r="B54" s="158"/>
      <c r="C54" s="860" t="s">
        <v>100</v>
      </c>
      <c r="D54" s="861"/>
      <c r="E54" s="861"/>
      <c r="F54" s="861"/>
      <c r="G54" s="861"/>
      <c r="H54" s="862"/>
      <c r="I54" s="147"/>
      <c r="J54" s="209"/>
    </row>
    <row r="55" spans="1:10" ht="8.1" customHeight="1">
      <c r="A55" s="29"/>
      <c r="B55" s="34"/>
      <c r="C55" s="61"/>
      <c r="D55" s="616"/>
      <c r="E55" s="47"/>
      <c r="F55" s="617"/>
      <c r="G55" s="47"/>
      <c r="H55" s="47"/>
      <c r="I55" s="48"/>
    </row>
    <row r="56" spans="1:10" ht="15" customHeight="1">
      <c r="A56" s="29"/>
      <c r="B56" s="148"/>
      <c r="C56" s="159"/>
      <c r="D56" s="159"/>
      <c r="E56" s="178" t="str">
        <f>IF(OR('4. Results &amp; Compliance'!$H$13="",'3. EC Modelling Info'!$F$59="",'3. EC Modelling Info'!$F$59='Backend (to be hidden)'!$BR$3),"",IF('4. Results &amp; Compliance'!$H$13='Backend (to be hidden)'!$CL$11,"",IF(AND('3. EC Modelling Info'!$F$59='Backend (to be hidden)'!$BR$2,'3. EC Modelling Info'!$F$62='Backend (to be hidden)'!$BV$2),"(Compliance)",IF('3. EC Modelling Info'!$F$62="","","(Reporting)"))))</f>
        <v/>
      </c>
      <c r="F56" s="618"/>
      <c r="G56" s="183" t="str">
        <f>IF(OR('4. Results &amp; Compliance'!$H$13="",'4. Results &amp; Compliance'!$H$13='Backend (to be hidden)'!CL11,'3. EC Modelling Info'!$F$59=""),"",IF(AND('4. Results &amp; Compliance'!H13='Backend (to be hidden)'!CL12,'3. EC Modelling Info'!F59='Backend (to be hidden)'!BR2,'3. EC Modelling Info'!$F$62='Backend (to be hidden)'!$BV$4),"(Compliance)",""))</f>
        <v/>
      </c>
      <c r="H56" s="178" t="str">
        <f>IF(E56="(Compliance)","(Reporting)",IF(G56="(Compliance)","(Reporting)",IF(AND(E56="(Reporting)",G56=""),"(Compliance)","")))</f>
        <v/>
      </c>
      <c r="I56" s="150"/>
    </row>
    <row r="57" spans="1:10" ht="30" customHeight="1">
      <c r="A57" s="29"/>
      <c r="B57" s="148"/>
      <c r="C57" s="159"/>
      <c r="D57" s="159"/>
      <c r="E57" s="149" t="s">
        <v>458</v>
      </c>
      <c r="F57" s="638"/>
      <c r="G57" s="160" t="s">
        <v>471</v>
      </c>
      <c r="H57" s="149" t="s">
        <v>472</v>
      </c>
      <c r="I57" s="150"/>
    </row>
    <row r="58" spans="1:10" ht="15" customHeight="1">
      <c r="A58" s="29"/>
      <c r="B58" s="141"/>
      <c r="C58" s="851" t="s">
        <v>1470</v>
      </c>
      <c r="D58" s="852"/>
      <c r="E58" s="852"/>
      <c r="F58" s="852"/>
      <c r="G58" s="852"/>
      <c r="H58" s="853"/>
      <c r="I58" s="48"/>
    </row>
    <row r="59" spans="1:10" ht="8.1" customHeight="1">
      <c r="A59" s="29"/>
      <c r="B59" s="34"/>
      <c r="C59" s="61"/>
      <c r="D59" s="616"/>
      <c r="E59" s="47"/>
      <c r="F59" s="617"/>
      <c r="G59" s="47"/>
      <c r="H59" s="47"/>
      <c r="I59" s="48"/>
    </row>
    <row r="60" spans="1:10" ht="15" customHeight="1">
      <c r="A60" s="29"/>
      <c r="B60" s="34"/>
      <c r="C60" s="846" t="s">
        <v>99</v>
      </c>
      <c r="D60" s="747"/>
      <c r="E60" s="18"/>
      <c r="F60" s="18"/>
      <c r="G60" s="13"/>
      <c r="H60" s="14"/>
      <c r="I60" s="48"/>
    </row>
    <row r="61" spans="1:10" ht="15" customHeight="1">
      <c r="A61" s="29"/>
      <c r="B61" s="141"/>
      <c r="C61" s="846" t="s">
        <v>80</v>
      </c>
      <c r="D61" s="747"/>
      <c r="E61" s="12"/>
      <c r="F61" s="12"/>
      <c r="G61" s="13"/>
      <c r="H61" s="14"/>
      <c r="I61" s="155"/>
    </row>
    <row r="62" spans="1:10" ht="15" customHeight="1">
      <c r="A62" s="29"/>
      <c r="B62" s="141"/>
      <c r="C62" s="846" t="s">
        <v>470</v>
      </c>
      <c r="D62" s="747"/>
      <c r="E62" s="12" t="str">
        <f>IF('3. EC Modelling Info'!$D36='Backend (to be hidden)'!$BT$3,E$61*'Backend (to be hidden)'!$BY2,"")</f>
        <v/>
      </c>
      <c r="F62" s="12"/>
      <c r="G62" s="13" t="str">
        <f>IF('3. EC Modelling Info'!$D36='Backend (to be hidden)'!$BT$3,G$61*'Backend (to be hidden)'!$BY2,"")</f>
        <v/>
      </c>
      <c r="H62" s="14" t="str">
        <f>IF('3. EC Modelling Info'!$D36='Backend (to be hidden)'!$BT$3,H$61*'Backend (to be hidden)'!$BY2,"")</f>
        <v/>
      </c>
      <c r="I62" s="155"/>
      <c r="J62" s="506"/>
    </row>
    <row r="63" spans="1:10" ht="15" customHeight="1">
      <c r="A63" s="29"/>
      <c r="B63" s="141"/>
      <c r="C63" s="846" t="s">
        <v>484</v>
      </c>
      <c r="D63" s="747"/>
      <c r="E63" s="12" t="str">
        <f>IF('3. EC Modelling Info'!$D37='Backend (to be hidden)'!$BT$3,E$61*'Backend (to be hidden)'!$BY3,"")</f>
        <v/>
      </c>
      <c r="F63" s="12"/>
      <c r="G63" s="13" t="str">
        <f>IF('3. EC Modelling Info'!$D37='Backend (to be hidden)'!$BT$3,G$61*'Backend (to be hidden)'!$BY3,"")</f>
        <v/>
      </c>
      <c r="H63" s="14" t="str">
        <f>IF('3. EC Modelling Info'!$D37='Backend (to be hidden)'!$BT$3,H$61*'Backend (to be hidden)'!$BY3,"")</f>
        <v/>
      </c>
      <c r="I63" s="155"/>
    </row>
    <row r="64" spans="1:10" ht="15" customHeight="1">
      <c r="A64" s="29"/>
      <c r="B64" s="141"/>
      <c r="C64" s="846" t="s">
        <v>82</v>
      </c>
      <c r="D64" s="747"/>
      <c r="E64" s="12" t="str">
        <f>IF('3. EC Modelling Info'!$D38='Backend (to be hidden)'!$BT$3,E$61*'Backend (to be hidden)'!$BY4,"")</f>
        <v/>
      </c>
      <c r="F64" s="12"/>
      <c r="G64" s="13" t="str">
        <f>IF('3. EC Modelling Info'!$D38='Backend (to be hidden)'!$BT$3,G$61*'Backend (to be hidden)'!$BY4,"")</f>
        <v/>
      </c>
      <c r="H64" s="14" t="str">
        <f>IF('3. EC Modelling Info'!$D38='Backend (to be hidden)'!$BT$3,H$61*'Backend (to be hidden)'!$BY4,"")</f>
        <v/>
      </c>
      <c r="I64" s="155"/>
    </row>
    <row r="65" spans="1:11" ht="15" customHeight="1">
      <c r="A65" s="29"/>
      <c r="B65" s="141"/>
      <c r="C65" s="846" t="s">
        <v>83</v>
      </c>
      <c r="D65" s="747"/>
      <c r="E65" s="12" t="str">
        <f>IF('3. EC Modelling Info'!$D39='Backend (to be hidden)'!$BT$3,E$61*'Backend (to be hidden)'!$BY5,"")</f>
        <v/>
      </c>
      <c r="F65" s="12"/>
      <c r="G65" s="13" t="str">
        <f>IF('3. EC Modelling Info'!$D39='Backend (to be hidden)'!$BT$3,G$61*'Backend (to be hidden)'!$BY5,"")</f>
        <v/>
      </c>
      <c r="H65" s="14" t="str">
        <f>IF('3. EC Modelling Info'!$D39='Backend (to be hidden)'!$BT$3,H$61*'Backend (to be hidden)'!$BY5,"")</f>
        <v/>
      </c>
      <c r="I65" s="155"/>
    </row>
    <row r="66" spans="1:11" ht="15" customHeight="1">
      <c r="A66" s="29"/>
      <c r="B66" s="141"/>
      <c r="C66" s="846" t="s">
        <v>477</v>
      </c>
      <c r="D66" s="747"/>
      <c r="E66" s="27" t="str">
        <f>IF(E61="","",SUM(E61:E65))</f>
        <v/>
      </c>
      <c r="F66" s="611"/>
      <c r="G66" s="27" t="str">
        <f>IF(G61="","",SUM(G61:G65))</f>
        <v/>
      </c>
      <c r="H66" s="27" t="str">
        <f>IF(H61="","",SUM(H61:H65))</f>
        <v/>
      </c>
      <c r="I66" s="155"/>
    </row>
    <row r="67" spans="1:11" ht="8.1" customHeight="1">
      <c r="A67" s="29"/>
      <c r="B67" s="141"/>
      <c r="C67" s="561"/>
      <c r="D67" s="616"/>
      <c r="E67" s="561"/>
      <c r="F67" s="616"/>
      <c r="G67" s="561"/>
      <c r="H67" s="561"/>
      <c r="I67" s="155"/>
    </row>
    <row r="68" spans="1:11" ht="15" customHeight="1">
      <c r="A68" s="29"/>
      <c r="B68" s="141"/>
      <c r="C68" s="846" t="s">
        <v>478</v>
      </c>
      <c r="D68" s="843"/>
      <c r="E68" s="24"/>
      <c r="F68" s="24"/>
      <c r="G68" s="23"/>
      <c r="H68" s="25"/>
      <c r="I68" s="155"/>
      <c r="J68" s="209"/>
    </row>
    <row r="69" spans="1:11" ht="8.1" customHeight="1" thickBot="1">
      <c r="A69" s="29"/>
      <c r="B69" s="72"/>
      <c r="C69" s="44"/>
      <c r="D69" s="44"/>
      <c r="E69" s="45"/>
      <c r="F69" s="45"/>
      <c r="G69" s="45"/>
      <c r="H69" s="45"/>
      <c r="I69" s="46"/>
    </row>
    <row r="70" spans="1:11" ht="23.1" customHeight="1">
      <c r="B70" s="619"/>
      <c r="C70" s="777" t="s">
        <v>1511</v>
      </c>
      <c r="D70" s="777"/>
      <c r="E70" s="777"/>
      <c r="F70" s="777"/>
      <c r="G70" s="777"/>
      <c r="H70" s="777"/>
      <c r="I70" s="778"/>
      <c r="J70" s="209"/>
    </row>
    <row r="71" spans="1:11" ht="15" customHeight="1">
      <c r="B71" s="34"/>
      <c r="C71" s="851" t="s">
        <v>1507</v>
      </c>
      <c r="D71" s="852"/>
      <c r="E71" s="852"/>
      <c r="F71" s="852"/>
      <c r="G71" s="852"/>
      <c r="H71" s="853"/>
      <c r="I71" s="155"/>
    </row>
    <row r="72" spans="1:11" ht="15" customHeight="1">
      <c r="A72" s="29"/>
      <c r="B72" s="34"/>
      <c r="C72" s="614"/>
      <c r="D72" s="655"/>
      <c r="E72" s="632" t="s">
        <v>1501</v>
      </c>
      <c r="F72" s="632"/>
      <c r="G72" s="632" t="s">
        <v>90</v>
      </c>
      <c r="H72" s="632" t="s">
        <v>91</v>
      </c>
      <c r="I72" s="155"/>
      <c r="J72" s="19"/>
    </row>
    <row r="73" spans="1:11" ht="30" customHeight="1">
      <c r="A73" s="29"/>
      <c r="B73" s="34"/>
      <c r="C73" s="841" t="s">
        <v>1508</v>
      </c>
      <c r="D73" s="842"/>
      <c r="E73" s="372">
        <f>E48</f>
        <v>1032343.29</v>
      </c>
      <c r="F73" s="372"/>
      <c r="G73" s="634">
        <f>IFERROR(IF(H13="","",IF(H13='Backend (to be hidden)'!CL11,'Backend (to be hidden)'!CQ11*'Backend (to be hidden)'!CI4,'Backend (to be hidden)'!$CJ$14)),"")</f>
        <v>2000000</v>
      </c>
      <c r="H73" s="372">
        <f>IFERROR(G73*'Backend (to be hidden)'!$CP$11,"")</f>
        <v>4000000</v>
      </c>
      <c r="I73" s="155"/>
    </row>
    <row r="74" spans="1:11" ht="30" customHeight="1">
      <c r="A74" s="29"/>
      <c r="B74" s="34"/>
      <c r="C74" s="841" t="s">
        <v>1509</v>
      </c>
      <c r="D74" s="842"/>
      <c r="E74" s="628">
        <f>IFERROR(E48/$H$15,"")</f>
        <v>206.468658</v>
      </c>
      <c r="F74" s="628"/>
      <c r="G74" s="635">
        <f>IFERROR(IF(H13="","",IF(H13='Backend (to be hidden)'!CL11,'Backend (to be hidden)'!CQ11,$G$73/'2. Project Info'!$D$41)),"")</f>
        <v>400</v>
      </c>
      <c r="H74" s="636">
        <f>IFERROR(G74*'Backend (to be hidden)'!$CP$11,"")</f>
        <v>800</v>
      </c>
      <c r="I74" s="155"/>
      <c r="J74" s="19"/>
      <c r="K74" s="668"/>
    </row>
    <row r="75" spans="1:11" ht="30" customHeight="1">
      <c r="A75" s="29"/>
      <c r="B75" s="34"/>
      <c r="C75" s="841" t="s">
        <v>1510</v>
      </c>
      <c r="D75" s="842"/>
      <c r="E75" s="628">
        <f>IFERROR(E73/'2. Project Info'!$D$43,"")</f>
        <v>161.3036390625</v>
      </c>
      <c r="F75" s="628"/>
      <c r="G75" s="635">
        <f>IFERROR(IF(H13="","",IF(H13='Backend (to be hidden)'!CL11,'Backend (to be hidden)'!CQ11*H15/'2. Project Info'!D43,$G$73/'2. Project Info'!$D$43)),"")</f>
        <v>312.5</v>
      </c>
      <c r="H75" s="636">
        <f>IFERROR(G75*'Backend (to be hidden)'!$CP$11,"")</f>
        <v>625</v>
      </c>
      <c r="I75" s="155"/>
    </row>
    <row r="76" spans="1:11" ht="15" customHeight="1">
      <c r="A76" s="29"/>
      <c r="B76" s="34"/>
      <c r="C76" s="841" t="s">
        <v>1505</v>
      </c>
      <c r="D76" s="842"/>
      <c r="E76" s="494">
        <f>IFERROR(IF($H$13="","",1-E73/G73),"")</f>
        <v>0.48382835499999999</v>
      </c>
      <c r="F76" s="637"/>
      <c r="G76" s="637"/>
      <c r="H76" s="494" t="str">
        <f>IFERROR(IF(H16&lt;'Backend (to be hidden)'!CN11,"(n/a)","-100%"),"")</f>
        <v>-100%</v>
      </c>
      <c r="I76" s="155"/>
    </row>
    <row r="77" spans="1:11" ht="15" customHeight="1" thickBot="1">
      <c r="A77" s="29"/>
      <c r="B77" s="55"/>
      <c r="C77" s="56"/>
      <c r="D77" s="56"/>
      <c r="E77" s="56"/>
      <c r="F77" s="56"/>
      <c r="G77" s="56"/>
      <c r="H77" s="56"/>
      <c r="I77" s="161"/>
    </row>
    <row r="78" spans="1:11" ht="23.1" customHeight="1">
      <c r="B78" s="658"/>
      <c r="C78" s="777" t="s">
        <v>1515</v>
      </c>
      <c r="D78" s="777"/>
      <c r="E78" s="777"/>
      <c r="F78" s="777"/>
      <c r="G78" s="777"/>
      <c r="H78" s="777"/>
      <c r="I78" s="778"/>
      <c r="J78" s="209"/>
    </row>
    <row r="79" spans="1:11" ht="15" customHeight="1">
      <c r="B79" s="34"/>
      <c r="C79" s="851" t="s">
        <v>1552</v>
      </c>
      <c r="D79" s="852"/>
      <c r="E79" s="852"/>
      <c r="F79" s="852"/>
      <c r="G79" s="852"/>
      <c r="H79" s="853"/>
      <c r="I79" s="155"/>
    </row>
    <row r="80" spans="1:11" ht="8.1" customHeight="1">
      <c r="A80" s="29"/>
      <c r="B80" s="34"/>
      <c r="C80" s="630"/>
      <c r="D80" s="630"/>
      <c r="E80" s="655"/>
      <c r="F80" s="655"/>
      <c r="G80" s="655"/>
      <c r="H80" s="655"/>
      <c r="I80" s="155"/>
    </row>
    <row r="81" spans="1:10" ht="15" customHeight="1">
      <c r="A81" s="29"/>
      <c r="B81" s="34"/>
      <c r="C81" s="841" t="s">
        <v>1553</v>
      </c>
      <c r="D81" s="841"/>
      <c r="E81" s="841"/>
      <c r="F81" s="841"/>
      <c r="G81" s="842"/>
      <c r="H81" s="372">
        <f>'6. Carbon Storage'!H25</f>
        <v>-96825.357201902851</v>
      </c>
      <c r="I81" s="155"/>
      <c r="J81" s="6"/>
    </row>
    <row r="82" spans="1:10" ht="15" customHeight="1">
      <c r="A82" s="29"/>
      <c r="B82" s="34"/>
      <c r="C82" s="841" t="s">
        <v>1554</v>
      </c>
      <c r="D82" s="841"/>
      <c r="E82" s="841"/>
      <c r="F82" s="841"/>
      <c r="G82" s="842"/>
      <c r="H82" s="628">
        <f>'6. Carbon Storage'!H26</f>
        <v>-19.365071440380571</v>
      </c>
      <c r="I82" s="155"/>
      <c r="J82" s="6"/>
    </row>
    <row r="83" spans="1:10" ht="15" customHeight="1">
      <c r="A83" s="29"/>
      <c r="B83" s="34"/>
      <c r="C83" s="655"/>
      <c r="D83" s="655"/>
      <c r="E83" s="625"/>
      <c r="F83" s="625"/>
      <c r="G83" s="631" t="s">
        <v>1555</v>
      </c>
      <c r="H83" s="629">
        <f>'6. Carbon Storage'!H27</f>
        <v>0.10349919954212106</v>
      </c>
      <c r="I83" s="155"/>
      <c r="J83" s="6"/>
    </row>
    <row r="84" spans="1:10" ht="8.1" customHeight="1">
      <c r="A84" s="29"/>
      <c r="B84" s="34"/>
      <c r="C84" s="630"/>
      <c r="D84" s="630"/>
      <c r="E84" s="655"/>
      <c r="F84" s="655"/>
      <c r="G84" s="655"/>
      <c r="H84" s="655"/>
      <c r="I84" s="155"/>
    </row>
    <row r="85" spans="1:10" ht="15" customHeight="1">
      <c r="B85" s="34"/>
      <c r="C85" s="851" t="s">
        <v>1506</v>
      </c>
      <c r="D85" s="852"/>
      <c r="E85" s="852"/>
      <c r="F85" s="852"/>
      <c r="G85" s="852"/>
      <c r="H85" s="853"/>
      <c r="I85" s="155"/>
    </row>
    <row r="86" spans="1:10" ht="8.1" customHeight="1">
      <c r="A86" s="29"/>
      <c r="B86" s="34"/>
      <c r="C86" s="630"/>
      <c r="D86" s="630"/>
      <c r="E86" s="655"/>
      <c r="F86" s="655"/>
      <c r="G86" s="655"/>
      <c r="H86" s="655"/>
      <c r="I86" s="155"/>
    </row>
    <row r="87" spans="1:10" ht="56.25" customHeight="1">
      <c r="A87" s="29"/>
      <c r="B87" s="34"/>
      <c r="C87" s="654"/>
      <c r="D87" s="654"/>
      <c r="E87" s="632" t="s">
        <v>1498</v>
      </c>
      <c r="F87" s="632"/>
      <c r="G87" s="632" t="s">
        <v>1512</v>
      </c>
      <c r="H87" s="632" t="s">
        <v>1556</v>
      </c>
      <c r="I87" s="155"/>
      <c r="J87" s="6"/>
    </row>
    <row r="88" spans="1:10" ht="15" customHeight="1">
      <c r="A88" s="29"/>
      <c r="B88" s="34"/>
      <c r="C88" s="841" t="s">
        <v>1504</v>
      </c>
      <c r="D88" s="842"/>
      <c r="E88" s="626">
        <v>0.05</v>
      </c>
      <c r="F88" s="626"/>
      <c r="G88" s="627">
        <f>E88*'Backend (to be hidden)'!$CQ$11</f>
        <v>20</v>
      </c>
      <c r="H88" s="633" cm="1">
        <f t="array" ref="H88:I88">'7. ILCs - Design '!H18:I18</f>
        <v>100000</v>
      </c>
      <c r="I88" s="155">
        <v>0</v>
      </c>
      <c r="J88" s="6"/>
    </row>
    <row r="89" spans="1:10" ht="15" customHeight="1">
      <c r="A89" s="29"/>
      <c r="B89" s="34"/>
      <c r="C89" s="841" t="s">
        <v>1497</v>
      </c>
      <c r="D89" s="842"/>
      <c r="E89" s="641">
        <f>'Backend (to be hidden)'!$CJ$36</f>
        <v>0.05</v>
      </c>
      <c r="F89" s="641"/>
      <c r="G89" s="642">
        <f>'7. ILCs - Design '!F19</f>
        <v>20</v>
      </c>
      <c r="H89" s="643" cm="1">
        <f t="array" ref="H89:I89">'7. ILCs - Design '!H19:I19</f>
        <v>100000</v>
      </c>
      <c r="I89" s="155">
        <v>0</v>
      </c>
      <c r="J89" s="6"/>
    </row>
    <row r="90" spans="1:10" ht="8.1" customHeight="1" thickBot="1">
      <c r="A90" s="29"/>
      <c r="B90" s="145"/>
      <c r="C90" s="664"/>
      <c r="D90" s="664"/>
      <c r="E90" s="665"/>
      <c r="F90" s="665"/>
      <c r="G90" s="666"/>
      <c r="H90" s="666"/>
      <c r="I90" s="161"/>
      <c r="J90" s="6"/>
    </row>
    <row r="107"/>
    <row r="108"/>
  </sheetData>
  <sheetProtection algorithmName="SHA-512" hashValue="5Svr6J8J34ihG+lfy/w9GvWI4upasjuAMuusNgBbcRJBID1Q1OgdGSTETwWG+GYJXzecya02a8w3+12dCREKAg==" saltValue="8h11lctQGGz4zBHUoP3lOg==" spinCount="100000" sheet="1" formatRows="0"/>
  <mergeCells count="56">
    <mergeCell ref="C71:H71"/>
    <mergeCell ref="C76:D76"/>
    <mergeCell ref="C81:G81"/>
    <mergeCell ref="C43:D43"/>
    <mergeCell ref="C60:D60"/>
    <mergeCell ref="C15:G15"/>
    <mergeCell ref="C20:H20"/>
    <mergeCell ref="C18:H19"/>
    <mergeCell ref="C24:D24"/>
    <mergeCell ref="C58:H58"/>
    <mergeCell ref="C54:H54"/>
    <mergeCell ref="C40:H40"/>
    <mergeCell ref="C44:D44"/>
    <mergeCell ref="E22:H22"/>
    <mergeCell ref="C22:D22"/>
    <mergeCell ref="C26:D26"/>
    <mergeCell ref="C27:D27"/>
    <mergeCell ref="C2:I2"/>
    <mergeCell ref="C6:I6"/>
    <mergeCell ref="C7:I7"/>
    <mergeCell ref="C4:E4"/>
    <mergeCell ref="C13:G13"/>
    <mergeCell ref="C9:I9"/>
    <mergeCell ref="C11:H11"/>
    <mergeCell ref="C88:D88"/>
    <mergeCell ref="C35:I35"/>
    <mergeCell ref="C50:D50"/>
    <mergeCell ref="E26:H26"/>
    <mergeCell ref="E24:H24"/>
    <mergeCell ref="E27:H27"/>
    <mergeCell ref="C29:H29"/>
    <mergeCell ref="C79:H79"/>
    <mergeCell ref="C36:H36"/>
    <mergeCell ref="C85:H85"/>
    <mergeCell ref="C65:D65"/>
    <mergeCell ref="C66:D66"/>
    <mergeCell ref="C42:D42"/>
    <mergeCell ref="C70:I70"/>
    <mergeCell ref="C52:D52"/>
    <mergeCell ref="C61:D61"/>
    <mergeCell ref="C89:D89"/>
    <mergeCell ref="C78:I78"/>
    <mergeCell ref="C32:D32"/>
    <mergeCell ref="C33:D33"/>
    <mergeCell ref="C73:D73"/>
    <mergeCell ref="C74:D74"/>
    <mergeCell ref="C75:D75"/>
    <mergeCell ref="C45:D45"/>
    <mergeCell ref="C46:D46"/>
    <mergeCell ref="C47:D47"/>
    <mergeCell ref="C48:D48"/>
    <mergeCell ref="C62:D62"/>
    <mergeCell ref="C63:D63"/>
    <mergeCell ref="C64:D64"/>
    <mergeCell ref="C82:G82"/>
    <mergeCell ref="C68:D68"/>
  </mergeCells>
  <conditionalFormatting sqref="E52">
    <cfRule type="expression" dxfId="23" priority="765">
      <formula>$E$38="(Compliance)"</formula>
    </cfRule>
  </conditionalFormatting>
  <conditionalFormatting sqref="E22:H22">
    <cfRule type="cellIs" dxfId="22" priority="345" operator="equal">
      <formula>"No"</formula>
    </cfRule>
    <cfRule type="cellIs" dxfId="21" priority="346" operator="equal">
      <formula>"Yes"</formula>
    </cfRule>
  </conditionalFormatting>
  <conditionalFormatting sqref="E27:H27">
    <cfRule type="expression" dxfId="1" priority="191">
      <formula>$E$22="Yes"</formula>
    </cfRule>
    <cfRule type="expression" dxfId="0" priority="679">
      <formula>$E$22="No"</formula>
    </cfRule>
  </conditionalFormatting>
  <conditionalFormatting sqref="E38:H38 E56:H56">
    <cfRule type="cellIs" dxfId="19" priority="1256" operator="equal">
      <formula>"(Compliance)"</formula>
    </cfRule>
  </conditionalFormatting>
  <conditionalFormatting sqref="G52 G38:G39 G42:G48 G50 G56:G57 G60:G68">
    <cfRule type="expression" dxfId="10" priority="4">
      <formula>OR($E$38="(Compliance)",$E$38="")</formula>
    </cfRule>
  </conditionalFormatting>
  <conditionalFormatting sqref="G52">
    <cfRule type="expression" dxfId="8" priority="767">
      <formula>$G$38="(Compliance)"</formula>
    </cfRule>
  </conditionalFormatting>
  <conditionalFormatting sqref="H52">
    <cfRule type="expression" dxfId="2" priority="769">
      <formula>$H$38="(Compliance)"</formula>
    </cfRule>
  </conditionalFormatting>
  <dataValidations disablePrompts="1" count="2">
    <dataValidation type="list" allowBlank="1" showInputMessage="1" showErrorMessage="1" sqref="E35:I35 E9:I9 E78:I78 E70:I70" xr:uid="{00000000-0002-0000-0300-000000000000}">
      <formula1>INDIRECT("ConstructionType")</formula1>
    </dataValidation>
    <dataValidation type="list" allowBlank="1" showInputMessage="1" showErrorMessage="1" sqref="E35:I35 E9:I9 E78:I78 E70:I70" xr:uid="{00000000-0002-0000-0300-000001000000}">
      <formula1>INDIRECT("SecondaryBuildingUse")</formula1>
    </dataValidation>
  </dataValidations>
  <pageMargins left="0.7" right="0.7" top="0.75" bottom="0.75" header="0.3" footer="0.3"/>
  <pageSetup orientation="portrait" r:id="rId1"/>
  <rowBreaks count="2" manualBreakCount="2">
    <brk id="17" max="16383" man="1"/>
    <brk id="53" min="1" max="8"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167" id="{5C0ED35A-5FF7-410B-B8D7-4A2B108346F3}">
            <xm:f>NOT($H$13='Backend (to be hidden)'!$CL$12)</xm:f>
            <x14:dxf>
              <font>
                <color theme="0"/>
              </font>
              <fill>
                <patternFill>
                  <bgColor theme="0" tint="-0.24994659260841701"/>
                </patternFill>
              </fill>
            </x14:dxf>
          </x14:cfRule>
          <xm:sqref>B54:D54 I54</xm:sqref>
        </x14:conditionalFormatting>
        <x14:conditionalFormatting xmlns:xm="http://schemas.microsoft.com/office/excel/2006/main">
          <x14:cfRule type="expression" priority="19" id="{3708FBC2-9C8E-4CC5-82EE-35E14ECFC398}">
            <xm:f>'3. EC Modelling Info'!$F$120="Yes"</xm:f>
            <x14:dxf>
              <font>
                <color theme="0" tint="-0.14996795556505021"/>
              </font>
              <fill>
                <patternFill>
                  <fgColor theme="0" tint="-0.14993743705557422"/>
                  <bgColor theme="0" tint="-0.14996795556505021"/>
                </patternFill>
              </fill>
              <border>
                <left/>
                <right/>
                <top/>
                <bottom/>
              </border>
            </x14:dxf>
          </x14:cfRule>
          <xm:sqref>C24 E24:H24 C25:H25</xm:sqref>
        </x14:conditionalFormatting>
        <x14:conditionalFormatting xmlns:xm="http://schemas.microsoft.com/office/excel/2006/main">
          <x14:cfRule type="expression" priority="67" id="{A4F97D8C-C4AC-4950-8EAC-00FCECE810A5}">
            <xm:f>OR('3. EC Modelling Info'!$F$120="No",ISBLANK('3. EC Modelling Info'!$F$120))</xm:f>
            <x14:dxf>
              <font>
                <strike val="0"/>
                <color theme="0" tint="-0.14996795556505021"/>
              </font>
              <fill>
                <patternFill>
                  <bgColor theme="0" tint="-0.14996795556505021"/>
                </patternFill>
              </fill>
              <border>
                <left/>
                <right/>
                <top/>
                <bottom/>
                <vertical/>
                <horizontal/>
              </border>
            </x14:dxf>
          </x14:cfRule>
          <xm:sqref>C26</xm:sqref>
        </x14:conditionalFormatting>
        <x14:conditionalFormatting xmlns:xm="http://schemas.microsoft.com/office/excel/2006/main">
          <x14:cfRule type="expression" priority="1763" id="{263D098F-FDB1-4C2B-B2B5-2BFFA63BA97D}">
            <xm:f>NOT(OR('3. EC Modelling Info'!$D$19='Backend (to be hidden)'!$BJ$6,AND('3. EC Modelling Info'!$D$19='Backend (to be hidden)'!$BJ$11,'3. EC Modelling Info'!$D$22='Backend (to be hidden)'!$BR$3)))</xm:f>
            <x14:dxf>
              <font>
                <color theme="0" tint="-0.14996795556505021"/>
              </font>
              <fill>
                <patternFill>
                  <bgColor theme="0" tint="-0.14996795556505021"/>
                </patternFill>
              </fill>
              <border>
                <left/>
                <right/>
                <top/>
                <vertical/>
                <horizontal/>
              </border>
            </x14:dxf>
          </x14:cfRule>
          <xm:sqref>C42 E42:H42 C60 E60:H60</xm:sqref>
        </x14:conditionalFormatting>
        <x14:conditionalFormatting xmlns:xm="http://schemas.microsoft.com/office/excel/2006/main">
          <x14:cfRule type="expression" priority="29" id="{45367FA9-A607-4D45-9F38-CFEE833E0CEA}">
            <xm:f>NOT('3. EC Modelling Info'!$D$40="Yes")</xm:f>
            <x14:dxf>
              <font>
                <color theme="0" tint="-0.14996795556505021"/>
              </font>
              <fill>
                <patternFill>
                  <bgColor theme="0" tint="-0.14996795556505021"/>
                </patternFill>
              </fill>
              <border>
                <left/>
                <right/>
                <top/>
                <bottom/>
                <vertical/>
                <horizontal/>
              </border>
            </x14:dxf>
          </x14:cfRule>
          <xm:sqref>C50 E50:H50 C68 E68:H68</xm:sqref>
        </x14:conditionalFormatting>
        <x14:conditionalFormatting xmlns:xm="http://schemas.microsoft.com/office/excel/2006/main">
          <x14:cfRule type="expression" priority="1192" id="{318A9139-78D4-4E48-AB82-B03B27E5A934}">
            <xm:f>NOT('2. Project Info'!$D$19:$F$19&gt;='Backend (to be hidden)'!$CN$11)</xm:f>
            <x14:dxf>
              <font>
                <color theme="1" tint="0.499984740745262"/>
              </font>
            </x14:dxf>
          </x14:cfRule>
          <xm:sqref>C18:D18</xm:sqref>
        </x14:conditionalFormatting>
        <x14:conditionalFormatting xmlns:xm="http://schemas.microsoft.com/office/excel/2006/main">
          <x14:cfRule type="expression" priority="1196" id="{C3C9A9FC-E4A9-4357-A3D6-591D8ED4A1A2}">
            <xm:f>NOT('2. Project Info'!$D$19&gt;='Backend (to be hidden)'!$CN$11)</xm:f>
            <x14:dxf>
              <font>
                <color theme="0"/>
              </font>
              <fill>
                <patternFill>
                  <bgColor theme="0" tint="-0.24994659260841701"/>
                </patternFill>
              </fill>
            </x14:dxf>
          </x14:cfRule>
          <xm:sqref>C54:D54</xm:sqref>
        </x14:conditionalFormatting>
        <x14:conditionalFormatting xmlns:xm="http://schemas.microsoft.com/office/excel/2006/main">
          <x14:cfRule type="expression" priority="14" id="{AB03562C-3EB4-4F97-A00A-324D6AD860FC}">
            <xm:f>$H$16&lt;'Backend (to be hidden)'!$CN$11</xm:f>
            <x14:dxf>
              <font>
                <color theme="0" tint="-0.14996795556505021"/>
              </font>
              <fill>
                <patternFill>
                  <bgColor theme="0" tint="-0.14996795556505021"/>
                </patternFill>
              </fill>
              <border>
                <left/>
                <right/>
                <top/>
                <bottom/>
                <vertical/>
                <horizontal/>
              </border>
            </x14:dxf>
          </x14:cfRule>
          <xm:sqref>C13:H13 C20:H33</xm:sqref>
        </x14:conditionalFormatting>
        <x14:conditionalFormatting xmlns:xm="http://schemas.microsoft.com/office/excel/2006/main">
          <x14:cfRule type="expression" priority="16" id="{A4EA01AA-B9A8-4173-B459-6569CF84BC12}">
            <xm:f>NOT('3. EC Modelling Info'!$D$18:$F$18='Backend (to be hidden)'!$CL$12)</xm:f>
            <x14:dxf>
              <font>
                <color theme="0" tint="-0.14996795556505021"/>
              </font>
              <fill>
                <patternFill>
                  <bgColor theme="0" tint="-0.14996795556505021"/>
                </patternFill>
              </fill>
              <border>
                <left/>
                <right/>
                <top/>
                <bottom/>
                <vertical/>
                <horizontal/>
              </border>
            </x14:dxf>
          </x14:cfRule>
          <x14:cfRule type="expression" priority="17" id="{3D2FD53A-2534-4C67-BE6D-A7A9C0EDBFF7}">
            <xm:f>NOT('2. Project Info'!$D$19&gt;='Backend (to be hidden)'!$CN$11)</xm:f>
            <x14:dxf>
              <font>
                <color theme="0" tint="-0.14996795556505021"/>
              </font>
              <fill>
                <patternFill>
                  <bgColor theme="0" tint="-0.14996795556505021"/>
                </patternFill>
              </fill>
              <border>
                <left/>
                <right/>
                <top/>
                <bottom/>
              </border>
            </x14:dxf>
          </x14:cfRule>
          <xm:sqref>C56:H68</xm:sqref>
        </x14:conditionalFormatting>
        <x14:conditionalFormatting xmlns:xm="http://schemas.microsoft.com/office/excel/2006/main">
          <x14:cfRule type="expression" priority="13" id="{4BA1BC97-ADB9-4DED-A232-99194EBECB5B}">
            <xm:f>OR('3. EC Modelling Info'!$F$90="No",ISBLANK('3. EC Modelling Info'!$F$90))</xm:f>
            <x14:dxf>
              <font>
                <color theme="0" tint="-0.14996795556505021"/>
              </font>
              <fill>
                <patternFill>
                  <bgColor theme="0" tint="-0.14996795556505021"/>
                </patternFill>
              </fill>
              <border>
                <left/>
                <right/>
                <top/>
                <bottom/>
                <vertical/>
                <horizontal/>
              </border>
            </x14:dxf>
          </x14:cfRule>
          <xm:sqref>C79:H83</xm:sqref>
        </x14:conditionalFormatting>
        <x14:conditionalFormatting xmlns:xm="http://schemas.microsoft.com/office/excel/2006/main">
          <x14:cfRule type="expression" priority="12" id="{F8EE9FBE-1989-4B91-B473-2411FCC31B4E}">
            <xm:f>OR('3. EC Modelling Info'!$F$120="No",ISBLANK('3. EC Modelling Info'!$F$120))</xm:f>
            <x14:dxf>
              <font>
                <color theme="0" tint="-0.14996795556505021"/>
              </font>
              <fill>
                <patternFill>
                  <bgColor theme="0" tint="-0.14996795556505021"/>
                </patternFill>
              </fill>
              <border>
                <left/>
                <right/>
                <top/>
                <bottom/>
                <vertical/>
                <horizontal/>
              </border>
            </x14:dxf>
          </x14:cfRule>
          <xm:sqref>C85:H89</xm:sqref>
        </x14:conditionalFormatting>
        <x14:conditionalFormatting xmlns:xm="http://schemas.microsoft.com/office/excel/2006/main">
          <x14:cfRule type="expression" priority="8" id="{C37A1F7A-6E3C-4C37-A812-D9FE586CC146}">
            <xm:f>AND(OR('3. EC Modelling Info'!F90="No",ISBLANK('3. EC Modelling Info'!F90)),OR('3. EC Modelling Info'!F120="No",ISBLANK('3. EC Modelling Info'!F120)))</xm:f>
            <x14:dxf>
              <font>
                <color theme="1" tint="0.499984740745262"/>
              </font>
            </x14:dxf>
          </x14:cfRule>
          <xm:sqref>C78:I78</xm:sqref>
        </x14:conditionalFormatting>
        <x14:conditionalFormatting xmlns:xm="http://schemas.microsoft.com/office/excel/2006/main">
          <x14:cfRule type="expression" priority="66" id="{02D6DC27-21CD-4B6F-BFC1-9FD47836FAB1}">
            <xm:f>OR('3. EC Modelling Info'!$F$120="No",ISBLANK('3. EC Modelling Info'!$F$120))</xm:f>
            <x14:dxf>
              <font>
                <strike val="0"/>
                <color theme="0" tint="-0.14996795556505021"/>
              </font>
              <fill>
                <patternFill>
                  <bgColor theme="0" tint="-0.14996795556505021"/>
                </patternFill>
              </fill>
              <border>
                <left/>
                <right/>
                <top style="thin">
                  <color theme="0" tint="-0.34998626667073579"/>
                </top>
                <bottom style="thin">
                  <color theme="0" tint="-0.34998626667073579"/>
                </bottom>
                <vertical/>
                <horizontal/>
              </border>
            </x14:dxf>
          </x14:cfRule>
          <xm:sqref>E26:H26</xm:sqref>
        </x14:conditionalFormatting>
        <x14:conditionalFormatting xmlns:xm="http://schemas.microsoft.com/office/excel/2006/main">
          <x14:cfRule type="expression" priority="1765" id="{F4342CA1-DA01-4A86-A72A-E6813CAD1806}">
            <xm:f>OR('3. EC Modelling Info'!$D$19='Backend (to be hidden)'!$BJ$6,AND('3. EC Modelling Info'!$D$19='Backend (to be hidden)'!$BJ$11,'3. EC Modelling Info'!$D$22='Backend (to be hidden)'!$BR$3))</xm:f>
            <x14:dxf>
              <font>
                <color theme="0" tint="-0.14996795556505021"/>
              </font>
              <fill>
                <patternFill>
                  <bgColor theme="0" tint="-0.14996795556505021"/>
                </patternFill>
              </fill>
            </x14:dxf>
          </x14:cfRule>
          <xm:sqref>E43:H48 E61:H67</xm:sqref>
        </x14:conditionalFormatting>
        <x14:conditionalFormatting xmlns:xm="http://schemas.microsoft.com/office/excel/2006/main">
          <x14:cfRule type="expression" priority="1169" id="{380E3029-BCD9-4A21-A756-450225AF3818}">
            <xm:f>'3. EC Modelling Info'!$D$36='Backend (to be hidden)'!$BT$3</xm:f>
            <x14:dxf>
              <font>
                <color theme="1" tint="0.499984740745262"/>
              </font>
              <fill>
                <patternFill>
                  <bgColor theme="0" tint="-0.14996795556505021"/>
                </patternFill>
              </fill>
            </x14:dxf>
          </x14:cfRule>
          <xm:sqref>E44:H44 E62:H62</xm:sqref>
        </x14:conditionalFormatting>
        <x14:conditionalFormatting xmlns:xm="http://schemas.microsoft.com/office/excel/2006/main">
          <x14:cfRule type="expression" priority="1193" id="{ED7FC9C8-B3BB-4D22-A013-A73C0C406C72}">
            <xm:f>'3. EC Modelling Info'!$D$37='Backend (to be hidden)'!$BT$3</xm:f>
            <x14:dxf>
              <font>
                <color theme="1" tint="0.499984740745262"/>
              </font>
              <fill>
                <patternFill>
                  <bgColor theme="0" tint="-0.14996795556505021"/>
                </patternFill>
              </fill>
            </x14:dxf>
          </x14:cfRule>
          <xm:sqref>E45:H45 E63:H63</xm:sqref>
        </x14:conditionalFormatting>
        <x14:conditionalFormatting xmlns:xm="http://schemas.microsoft.com/office/excel/2006/main">
          <x14:cfRule type="expression" priority="1245" id="{51464C7F-9321-4F5C-BB02-561F5D66D3F5}">
            <xm:f>'3. EC Modelling Info'!$D$38='Backend (to be hidden)'!$BT$3</xm:f>
            <x14:dxf>
              <font>
                <color theme="1" tint="0.499984740745262"/>
              </font>
              <fill>
                <patternFill>
                  <bgColor theme="0" tint="-0.14996795556505021"/>
                </patternFill>
              </fill>
            </x14:dxf>
          </x14:cfRule>
          <xm:sqref>E46:H46 E64:H64</xm:sqref>
        </x14:conditionalFormatting>
        <x14:conditionalFormatting xmlns:xm="http://schemas.microsoft.com/office/excel/2006/main">
          <x14:cfRule type="expression" priority="1269" id="{FF2563CE-802B-46B6-A18D-FC8622090367}">
            <xm:f>'3. EC Modelling Info'!$D$39='Backend (to be hidden)'!$BT$3</xm:f>
            <x14:dxf>
              <font>
                <color theme="1" tint="0.499984740745262"/>
              </font>
              <fill>
                <patternFill>
                  <bgColor theme="0" tint="-0.14996795556505021"/>
                </patternFill>
              </fill>
            </x14:dxf>
          </x14:cfRule>
          <xm:sqref>E47:H47 E65:H65</xm:sqref>
        </x14:conditionalFormatting>
        <x14:conditionalFormatting xmlns:xm="http://schemas.microsoft.com/office/excel/2006/main">
          <x14:cfRule type="expression" priority="3" id="{3E18A99F-7DFB-427E-BCF2-ADD6BFDEAFB7}">
            <xm:f>OR('3. EC Modelling Info'!$F$90="No",ISBLANK('3. EC Modelling Info'!$F$90))</xm:f>
            <x14:dxf>
              <font>
                <strike val="0"/>
                <color theme="0" tint="-0.14993743705557422"/>
              </font>
              <fill>
                <patternFill>
                  <fgColor theme="0" tint="-0.14993743705557422"/>
                  <bgColor theme="0" tint="-0.14996795556505021"/>
                </patternFill>
              </fill>
              <border>
                <left/>
                <right/>
                <top/>
                <bottom/>
              </border>
            </x14:dxf>
          </x14:cfRule>
          <xm:sqref>E52:H52 C52</xm:sqref>
        </x14:conditionalFormatting>
        <x14:conditionalFormatting xmlns:xm="http://schemas.microsoft.com/office/excel/2006/main">
          <x14:cfRule type="expression" priority="2" id="{42872953-5D2D-4AA7-B9FC-9B203A1970F0}">
            <xm:f>OR('3. EC Modelling Info'!$D$19='Backend (to be hidden)'!$BJ$6,AND('3. EC Modelling Info'!$D$19='Backend (to be hidden)'!$BJ$11,'3. EC Modelling Info'!$D$22='Backend (to be hidden)'!$BR$3))</xm:f>
            <x14:dxf>
              <font>
                <color theme="0" tint="-0.14996795556505021"/>
              </font>
              <fill>
                <patternFill>
                  <bgColor theme="0" tint="-0.14996795556505021"/>
                </patternFill>
              </fill>
            </x14:dxf>
          </x14:cfRule>
          <xm:sqref>E52:H52</xm:sqref>
        </x14:conditionalFormatting>
        <x14:conditionalFormatting xmlns:xm="http://schemas.microsoft.com/office/excel/2006/main">
          <x14:cfRule type="expression" priority="86" id="{30DD126F-45D0-45AD-A8BC-9BD06CE72E20}">
            <xm:f>'3. EC Modelling Info'!$D$40='Backend (to be hidden)'!$BT$3</xm:f>
            <x14:dxf>
              <font>
                <color theme="0" tint="-0.14996795556505021"/>
              </font>
              <fill>
                <patternFill>
                  <bgColor theme="0" tint="-0.14996795556505021"/>
                </patternFill>
              </fill>
            </x14:dxf>
          </x14:cfRule>
          <xm:sqref>E68:H68</xm:sqref>
        </x14:conditionalFormatting>
        <x14:conditionalFormatting xmlns:xm="http://schemas.microsoft.com/office/excel/2006/main">
          <x14:cfRule type="expression" priority="6" id="{BCB716D1-1D78-4935-8527-DF2C88FF1D9F}">
            <xm:f>OR('2. Project Info'!$D$19&lt;'Backend (to be hidden)'!$CN$11,AND($H$13='Backend (to be hidden)'!$CL$12,OR('3. EC Modelling Info'!$F$59="",'3. EC Modelling Info'!$F$62="",'3. EC Modelling Info'!$F$62='Backend (to be hidden)'!$BV$2,'3. EC Modelling Info'!$F$62='Backend (to be hidden)'!$BV$3)))</xm:f>
            <x14:dxf>
              <font>
                <color theme="0" tint="-0.14996795556505021"/>
              </font>
              <fill>
                <patternFill>
                  <bgColor theme="0" tint="-0.14996795556505021"/>
                </patternFill>
              </fill>
              <border>
                <top/>
                <bottom/>
                <vertical/>
                <horizontal/>
              </border>
            </x14:dxf>
          </x14:cfRule>
          <xm:sqref>G52 G38:G39 G42:G48 G50 G56:G57 G60:G68</xm:sqref>
        </x14:conditionalFormatting>
        <x14:conditionalFormatting xmlns:xm="http://schemas.microsoft.com/office/excel/2006/main">
          <x14:cfRule type="expression" priority="77" id="{EB4C6D7F-0F51-4C73-86C5-768E3E366E77}">
            <xm:f>'3. EC Modelling Info'!$D$40='Backend (to be hidden)'!$BT$3</xm:f>
            <x14:dxf>
              <font>
                <color theme="0" tint="-0.14996795556505021"/>
              </font>
              <fill>
                <patternFill>
                  <bgColor theme="0" tint="-0.14996795556505021"/>
                </patternFill>
              </fill>
            </x14:dxf>
          </x14:cfRule>
          <xm:sqref>G50:H50</xm:sqref>
        </x14:conditionalFormatting>
        <x14:conditionalFormatting xmlns:xm="http://schemas.microsoft.com/office/excel/2006/main">
          <x14:cfRule type="expression" priority="7" id="{8F7AF1C2-9C3C-4273-8A76-00EBDE7D2B2D}">
            <xm:f>$H$16&lt;'Backend (to be hidden)'!$CN$11</xm:f>
            <x14:dxf>
              <font>
                <color theme="0" tint="-0.14996795556505021"/>
              </font>
              <fill>
                <patternFill>
                  <bgColor theme="0" tint="-0.14996795556505021"/>
                </patternFill>
              </fill>
              <border>
                <left/>
                <right/>
                <top/>
                <bottom/>
              </border>
            </x14:dxf>
          </x14:cfRule>
          <xm:sqref>G72:H76</xm:sqref>
        </x14:conditionalFormatting>
        <x14:conditionalFormatting xmlns:xm="http://schemas.microsoft.com/office/excel/2006/main">
          <x14:cfRule type="expression" priority="1" id="{CF3D7772-09AB-4BBC-AE13-9D7F8E1CD464}">
            <xm:f>NOT(ISNUMBER('2. Project Info'!$D$19:$F$19))</xm:f>
            <x14:dxf>
              <font>
                <color theme="0" tint="-0.14996795556505021"/>
              </font>
            </x14:dxf>
          </x14:cfRule>
          <xm:sqref>H16</xm:sqref>
        </x14:conditionalFormatting>
        <x14:conditionalFormatting xmlns:xm="http://schemas.microsoft.com/office/excel/2006/main">
          <x14:cfRule type="expression" priority="58" id="{DB8DC61A-705D-4D7B-96BC-20FF89FE8178}">
            <xm:f>AND($H$13='Backend (to be hidden)'!$CL$12,OR('3. EC Modelling Info'!$F$59="",'3. EC Modelling Info'!$F$59='Backend (to be hidden)'!$BR$3))</xm:f>
            <x14:dxf>
              <font>
                <color theme="0" tint="-0.14996795556505021"/>
              </font>
              <fill>
                <patternFill>
                  <bgColor theme="0" tint="-0.14996795556505021"/>
                </patternFill>
              </fill>
              <border>
                <left/>
                <right/>
                <top/>
                <bottom/>
                <vertical/>
                <horizontal/>
              </border>
            </x14:dxf>
          </x14:cfRule>
          <x14:cfRule type="expression" priority="84" id="{5903361B-837F-4F6A-AD7D-F9E3A473D9EA}">
            <xm:f>OR('3. EC Modelling Info'!$F$59="",AND($H$13='Backend (to be hidden)'!$CL$11,'3. EC Modelling Info'!$F$59='Backend (to be hidden)'!$BR$3))</xm:f>
            <x14:dxf>
              <font>
                <color theme="0" tint="-0.14996795556505021"/>
              </font>
              <fill>
                <patternFill>
                  <bgColor theme="0" tint="-0.14996795556505021"/>
                </patternFill>
              </fill>
              <border>
                <left/>
                <right/>
                <top/>
                <bottom/>
                <vertical/>
                <horizontal/>
              </border>
            </x14:dxf>
          </x14:cfRule>
          <xm:sqref>H52 H38:H39 H42:H48 H50 H56:H57 H60:H68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sheetPr>
  <dimension ref="A1:O65"/>
  <sheetViews>
    <sheetView topLeftCell="A6" workbookViewId="0">
      <selection activeCell="D16" sqref="D16"/>
    </sheetView>
  </sheetViews>
  <sheetFormatPr defaultColWidth="0" defaultRowHeight="15" zeroHeight="1"/>
  <cols>
    <col min="1" max="2" width="0.7109375" style="28" customWidth="1"/>
    <col min="3" max="3" width="9" style="28" customWidth="1"/>
    <col min="4" max="4" width="32.85546875" style="28" customWidth="1"/>
    <col min="5" max="5" width="12" style="28" customWidth="1"/>
    <col min="6" max="6" width="12.85546875" style="28" customWidth="1"/>
    <col min="7" max="7" width="19.140625" style="28" customWidth="1"/>
    <col min="8" max="8" width="0.7109375" style="28" customWidth="1"/>
    <col min="9" max="9" width="20.7109375" style="30" customWidth="1"/>
    <col min="10" max="11" width="20.7109375" style="28" customWidth="1"/>
    <col min="12" max="15" width="0" style="28" hidden="1" customWidth="1"/>
    <col min="16" max="16384" width="10.7109375" style="28" hidden="1"/>
  </cols>
  <sheetData>
    <row r="1" spans="1:15" ht="3.75" customHeight="1" thickBot="1"/>
    <row r="2" spans="1:15" s="33" customFormat="1" ht="30.75" customHeight="1">
      <c r="A2" s="29"/>
      <c r="B2" s="31"/>
      <c r="C2" s="758" t="s">
        <v>218</v>
      </c>
      <c r="D2" s="758"/>
      <c r="E2" s="758"/>
      <c r="F2" s="758"/>
      <c r="G2" s="758"/>
      <c r="H2" s="759"/>
      <c r="I2" s="38"/>
      <c r="J2" s="32"/>
      <c r="K2" s="32"/>
      <c r="L2" s="32"/>
      <c r="M2" s="32"/>
      <c r="N2" s="32"/>
      <c r="O2" s="32"/>
    </row>
    <row r="3" spans="1:15" s="33" customFormat="1" ht="15" customHeight="1">
      <c r="A3" s="29"/>
      <c r="B3" s="34"/>
      <c r="C3" s="133"/>
      <c r="D3" s="133"/>
      <c r="E3" s="133"/>
      <c r="F3" s="133"/>
      <c r="G3" s="36" t="s">
        <v>545</v>
      </c>
      <c r="H3" s="134"/>
      <c r="I3" s="38"/>
      <c r="J3" s="32"/>
      <c r="K3" s="32"/>
      <c r="L3" s="32"/>
      <c r="M3" s="32"/>
      <c r="N3" s="32"/>
      <c r="O3" s="32"/>
    </row>
    <row r="4" spans="1:15" s="33" customFormat="1" ht="20.100000000000001" customHeight="1">
      <c r="A4" s="29"/>
      <c r="B4" s="39"/>
      <c r="C4" s="875" t="s">
        <v>1490</v>
      </c>
      <c r="D4" s="875"/>
      <c r="E4" s="875"/>
      <c r="F4" s="875"/>
      <c r="G4" s="41" t="s">
        <v>1611</v>
      </c>
      <c r="H4" s="42"/>
      <c r="I4" s="38"/>
      <c r="J4" s="32"/>
      <c r="K4" s="32"/>
      <c r="L4" s="32"/>
      <c r="M4" s="32"/>
      <c r="N4" s="32"/>
      <c r="O4" s="32"/>
    </row>
    <row r="5" spans="1:15" ht="6" customHeight="1" thickBot="1">
      <c r="A5" s="29"/>
      <c r="B5" s="43"/>
      <c r="C5" s="135"/>
      <c r="D5" s="45"/>
      <c r="E5" s="45"/>
      <c r="F5" s="45"/>
      <c r="G5" s="45"/>
      <c r="H5" s="46"/>
    </row>
    <row r="6" spans="1:15" s="33" customFormat="1" ht="15.75">
      <c r="A6" s="29"/>
      <c r="B6" s="136"/>
      <c r="C6" s="795" t="s">
        <v>0</v>
      </c>
      <c r="D6" s="795"/>
      <c r="E6" s="795"/>
      <c r="F6" s="795"/>
      <c r="G6" s="795"/>
      <c r="H6" s="832"/>
      <c r="I6" s="30"/>
      <c r="J6" s="51"/>
      <c r="K6" s="51"/>
      <c r="L6" s="51"/>
      <c r="M6" s="51"/>
      <c r="N6" s="51"/>
      <c r="O6" s="51"/>
    </row>
    <row r="7" spans="1:15" s="33" customFormat="1" ht="89.25" customHeight="1">
      <c r="A7" s="29"/>
      <c r="B7" s="49"/>
      <c r="C7" s="760" t="s">
        <v>1485</v>
      </c>
      <c r="D7" s="760"/>
      <c r="E7" s="760"/>
      <c r="F7" s="760"/>
      <c r="G7" s="760"/>
      <c r="H7" s="833"/>
      <c r="I7" s="30"/>
      <c r="J7" s="51"/>
      <c r="K7" s="51"/>
      <c r="L7" s="51"/>
      <c r="M7" s="51"/>
      <c r="N7" s="51"/>
      <c r="O7" s="51"/>
    </row>
    <row r="8" spans="1:15" s="33" customFormat="1" ht="19.149999999999999" customHeight="1">
      <c r="A8" s="29"/>
      <c r="B8" s="49"/>
      <c r="C8" s="869" t="s">
        <v>104</v>
      </c>
      <c r="D8" s="869"/>
      <c r="E8" s="869"/>
      <c r="F8" s="869"/>
      <c r="G8" s="869"/>
      <c r="H8" s="137"/>
      <c r="I8" s="38"/>
      <c r="J8" s="51"/>
      <c r="K8" s="51"/>
      <c r="L8" s="51"/>
      <c r="M8" s="51"/>
      <c r="N8" s="51"/>
      <c r="O8" s="51"/>
    </row>
    <row r="9" spans="1:15" s="33" customFormat="1" ht="37.5" customHeight="1">
      <c r="A9" s="29"/>
      <c r="B9" s="49"/>
      <c r="C9" s="760" t="s">
        <v>1557</v>
      </c>
      <c r="D9" s="760"/>
      <c r="E9" s="760"/>
      <c r="F9" s="760"/>
      <c r="G9" s="760"/>
      <c r="H9" s="833"/>
      <c r="I9" s="653"/>
      <c r="J9" s="51"/>
      <c r="K9" s="51"/>
      <c r="L9" s="51"/>
      <c r="M9" s="51"/>
      <c r="N9" s="51"/>
      <c r="O9" s="51"/>
    </row>
    <row r="10" spans="1:15" ht="6" customHeight="1" thickBot="1">
      <c r="A10" s="29"/>
      <c r="B10" s="43"/>
      <c r="C10" s="135"/>
      <c r="D10" s="45"/>
      <c r="E10" s="45"/>
      <c r="F10" s="45"/>
      <c r="G10" s="45"/>
      <c r="H10" s="46"/>
    </row>
    <row r="11" spans="1:15" ht="15.75">
      <c r="A11" s="29"/>
      <c r="B11" s="663"/>
      <c r="C11" s="777" t="s">
        <v>1491</v>
      </c>
      <c r="D11" s="777"/>
      <c r="E11" s="777"/>
      <c r="F11" s="777"/>
      <c r="G11" s="777"/>
      <c r="H11" s="778"/>
    </row>
    <row r="12" spans="1:15" ht="147" customHeight="1">
      <c r="A12" s="29"/>
      <c r="B12" s="34"/>
      <c r="C12" s="801" t="s">
        <v>1474</v>
      </c>
      <c r="D12" s="801"/>
      <c r="E12" s="801"/>
      <c r="F12" s="801"/>
      <c r="G12" s="801"/>
      <c r="H12" s="660"/>
      <c r="I12" s="38"/>
    </row>
    <row r="13" spans="1:15" ht="6" customHeight="1">
      <c r="A13" s="29"/>
      <c r="B13" s="43"/>
      <c r="C13" s="475"/>
      <c r="D13" s="476"/>
      <c r="E13" s="476"/>
      <c r="F13" s="476"/>
      <c r="G13" s="476"/>
      <c r="H13" s="140"/>
    </row>
    <row r="14" spans="1:15" ht="15.75">
      <c r="A14" s="29"/>
      <c r="B14" s="141"/>
      <c r="C14" s="868" t="s">
        <v>98</v>
      </c>
      <c r="D14" s="868"/>
      <c r="E14" s="868"/>
      <c r="F14" s="868"/>
      <c r="G14" s="868"/>
      <c r="H14" s="660"/>
      <c r="I14" s="38"/>
    </row>
    <row r="15" spans="1:15" ht="6" customHeight="1">
      <c r="A15" s="29"/>
      <c r="B15" s="43"/>
      <c r="C15" s="475"/>
      <c r="D15" s="476"/>
      <c r="E15" s="476"/>
      <c r="F15" s="476"/>
      <c r="G15" s="476"/>
      <c r="H15" s="140"/>
    </row>
    <row r="16" spans="1:15" ht="15.75">
      <c r="A16" s="29"/>
      <c r="B16" s="34"/>
      <c r="C16" s="489" t="s">
        <v>105</v>
      </c>
      <c r="D16" s="16" t="s">
        <v>1621</v>
      </c>
      <c r="E16" s="489" t="s">
        <v>106</v>
      </c>
      <c r="F16" s="870" t="s">
        <v>1420</v>
      </c>
      <c r="G16" s="871"/>
      <c r="H16" s="660"/>
    </row>
    <row r="17" spans="1:8" ht="15.75">
      <c r="A17" s="29"/>
      <c r="B17" s="34"/>
      <c r="C17" s="489" t="s">
        <v>105</v>
      </c>
      <c r="D17" s="15" t="s">
        <v>1622</v>
      </c>
      <c r="E17" s="489" t="s">
        <v>106</v>
      </c>
      <c r="F17" s="790" t="s">
        <v>301</v>
      </c>
      <c r="G17" s="792"/>
      <c r="H17" s="660"/>
    </row>
    <row r="18" spans="1:8" ht="15.75">
      <c r="A18" s="29"/>
      <c r="B18" s="34"/>
      <c r="C18" s="489" t="s">
        <v>105</v>
      </c>
      <c r="D18" s="15" t="s">
        <v>1623</v>
      </c>
      <c r="E18" s="489" t="s">
        <v>106</v>
      </c>
      <c r="F18" s="790" t="s">
        <v>338</v>
      </c>
      <c r="G18" s="792"/>
      <c r="H18" s="660"/>
    </row>
    <row r="19" spans="1:8" ht="15.75">
      <c r="A19" s="29"/>
      <c r="B19" s="34"/>
      <c r="C19" s="489" t="s">
        <v>105</v>
      </c>
      <c r="D19" s="15"/>
      <c r="E19" s="489" t="s">
        <v>106</v>
      </c>
      <c r="F19" s="790"/>
      <c r="G19" s="792"/>
      <c r="H19" s="660"/>
    </row>
    <row r="20" spans="1:8" ht="15.75">
      <c r="A20" s="29"/>
      <c r="B20" s="34"/>
      <c r="C20" s="489" t="s">
        <v>105</v>
      </c>
      <c r="D20" s="15"/>
      <c r="E20" s="489" t="s">
        <v>106</v>
      </c>
      <c r="F20" s="790"/>
      <c r="G20" s="792"/>
      <c r="H20" s="660"/>
    </row>
    <row r="21" spans="1:8" ht="15.75">
      <c r="A21" s="29"/>
      <c r="B21" s="34"/>
      <c r="C21" s="489" t="s">
        <v>105</v>
      </c>
      <c r="D21" s="15"/>
      <c r="E21" s="489" t="s">
        <v>106</v>
      </c>
      <c r="F21" s="790"/>
      <c r="G21" s="792"/>
      <c r="H21" s="660"/>
    </row>
    <row r="22" spans="1:8" ht="15.75">
      <c r="A22" s="29"/>
      <c r="B22" s="34"/>
      <c r="C22" s="489" t="s">
        <v>105</v>
      </c>
      <c r="D22" s="15"/>
      <c r="E22" s="489" t="s">
        <v>106</v>
      </c>
      <c r="F22" s="790"/>
      <c r="G22" s="792"/>
      <c r="H22" s="660"/>
    </row>
    <row r="23" spans="1:8" ht="6" customHeight="1">
      <c r="A23" s="29"/>
      <c r="B23" s="34"/>
      <c r="C23" s="475"/>
      <c r="D23" s="476"/>
      <c r="E23" s="667"/>
      <c r="F23" s="667"/>
      <c r="G23" s="476"/>
      <c r="H23" s="660"/>
    </row>
    <row r="24" spans="1:8" ht="15.75">
      <c r="B24" s="34"/>
      <c r="C24" s="872" t="s">
        <v>100</v>
      </c>
      <c r="D24" s="872"/>
      <c r="E24" s="872"/>
      <c r="F24" s="872"/>
      <c r="G24" s="872"/>
      <c r="H24" s="660"/>
    </row>
    <row r="25" spans="1:8" ht="6" customHeight="1">
      <c r="A25" s="29"/>
      <c r="B25" s="34"/>
      <c r="C25" s="661"/>
      <c r="D25" s="659"/>
      <c r="E25" s="659"/>
      <c r="F25" s="659"/>
      <c r="G25" s="659"/>
      <c r="H25" s="660"/>
    </row>
    <row r="26" spans="1:8" ht="15.75">
      <c r="A26" s="29"/>
      <c r="B26" s="34"/>
      <c r="C26" s="262" t="s">
        <v>105</v>
      </c>
      <c r="D26" s="16"/>
      <c r="E26" s="489" t="s">
        <v>106</v>
      </c>
      <c r="F26" s="870"/>
      <c r="G26" s="871"/>
      <c r="H26" s="660"/>
    </row>
    <row r="27" spans="1:8" ht="15.75">
      <c r="A27" s="29"/>
      <c r="B27" s="34"/>
      <c r="C27" s="262" t="s">
        <v>105</v>
      </c>
      <c r="D27" s="15"/>
      <c r="E27" s="489" t="s">
        <v>106</v>
      </c>
      <c r="F27" s="790"/>
      <c r="G27" s="792"/>
      <c r="H27" s="660"/>
    </row>
    <row r="28" spans="1:8" ht="15.75">
      <c r="A28" s="29"/>
      <c r="B28" s="34"/>
      <c r="C28" s="489" t="s">
        <v>105</v>
      </c>
      <c r="D28" s="15"/>
      <c r="E28" s="489" t="s">
        <v>106</v>
      </c>
      <c r="F28" s="790"/>
      <c r="G28" s="792"/>
      <c r="H28" s="660"/>
    </row>
    <row r="29" spans="1:8" ht="15.75">
      <c r="A29" s="29"/>
      <c r="B29" s="34"/>
      <c r="C29" s="489" t="s">
        <v>105</v>
      </c>
      <c r="D29" s="15"/>
      <c r="E29" s="489" t="s">
        <v>106</v>
      </c>
      <c r="F29" s="790"/>
      <c r="G29" s="792"/>
      <c r="H29" s="660"/>
    </row>
    <row r="30" spans="1:8" ht="15.75">
      <c r="A30" s="29"/>
      <c r="B30" s="34"/>
      <c r="C30" s="489" t="s">
        <v>105</v>
      </c>
      <c r="D30" s="15"/>
      <c r="E30" s="489" t="s">
        <v>106</v>
      </c>
      <c r="F30" s="790"/>
      <c r="G30" s="792"/>
      <c r="H30" s="660"/>
    </row>
    <row r="31" spans="1:8" ht="15.75">
      <c r="A31" s="29"/>
      <c r="B31" s="34"/>
      <c r="C31" s="262" t="s">
        <v>105</v>
      </c>
      <c r="D31" s="15"/>
      <c r="E31" s="489" t="s">
        <v>106</v>
      </c>
      <c r="F31" s="790"/>
      <c r="G31" s="792"/>
      <c r="H31" s="660"/>
    </row>
    <row r="32" spans="1:8" ht="15.75">
      <c r="A32" s="29"/>
      <c r="B32" s="34"/>
      <c r="C32" s="262" t="s">
        <v>105</v>
      </c>
      <c r="D32" s="15"/>
      <c r="E32" s="489" t="s">
        <v>106</v>
      </c>
      <c r="F32" s="790"/>
      <c r="G32" s="792"/>
      <c r="H32" s="660"/>
    </row>
    <row r="33" spans="1:9" ht="6" customHeight="1" thickBot="1">
      <c r="A33" s="29"/>
      <c r="B33" s="34"/>
      <c r="C33" s="138"/>
      <c r="D33" s="139"/>
      <c r="E33" s="143"/>
      <c r="F33" s="143"/>
      <c r="G33" s="139"/>
      <c r="H33" s="660"/>
    </row>
    <row r="34" spans="1:9" ht="15.75">
      <c r="A34" s="29"/>
      <c r="B34" s="584"/>
      <c r="C34" s="777" t="s">
        <v>1486</v>
      </c>
      <c r="D34" s="777"/>
      <c r="E34" s="777"/>
      <c r="F34" s="777"/>
      <c r="G34" s="777"/>
      <c r="H34" s="778"/>
    </row>
    <row r="35" spans="1:9" ht="95.25" customHeight="1">
      <c r="A35" s="29"/>
      <c r="B35" s="34"/>
      <c r="C35" s="821" t="s">
        <v>1575</v>
      </c>
      <c r="D35" s="821"/>
      <c r="E35" s="821"/>
      <c r="F35" s="821"/>
      <c r="G35" s="821"/>
      <c r="H35" s="579"/>
      <c r="I35" s="38"/>
    </row>
    <row r="36" spans="1:9" ht="15.75">
      <c r="A36" s="29"/>
      <c r="B36" s="141"/>
      <c r="C36" s="854" t="s">
        <v>1487</v>
      </c>
      <c r="D36" s="854"/>
      <c r="E36" s="854"/>
      <c r="F36" s="854"/>
      <c r="G36" s="854"/>
      <c r="H36" s="579"/>
      <c r="I36" s="38"/>
    </row>
    <row r="37" spans="1:9" ht="6" customHeight="1">
      <c r="A37" s="29"/>
      <c r="B37" s="43"/>
      <c r="C37" s="138"/>
      <c r="D37" s="139"/>
      <c r="E37" s="139"/>
      <c r="F37" s="139"/>
      <c r="G37" s="139"/>
      <c r="H37" s="140"/>
    </row>
    <row r="38" spans="1:9" ht="15.75">
      <c r="A38" s="29"/>
      <c r="B38" s="34"/>
      <c r="C38" s="142" t="s">
        <v>105</v>
      </c>
      <c r="D38" s="15"/>
      <c r="E38" s="142" t="s">
        <v>1483</v>
      </c>
      <c r="F38" s="873"/>
      <c r="G38" s="874"/>
      <c r="H38" s="579"/>
    </row>
    <row r="39" spans="1:9" ht="15.75">
      <c r="A39" s="29"/>
      <c r="B39" s="34"/>
      <c r="C39" s="142" t="s">
        <v>105</v>
      </c>
      <c r="D39" s="15"/>
      <c r="E39" s="142" t="s">
        <v>1483</v>
      </c>
      <c r="F39" s="873"/>
      <c r="G39" s="874"/>
      <c r="H39" s="579"/>
    </row>
    <row r="40" spans="1:9" ht="15.75">
      <c r="A40" s="29"/>
      <c r="B40" s="34"/>
      <c r="C40" s="142" t="s">
        <v>105</v>
      </c>
      <c r="D40" s="15"/>
      <c r="E40" s="142" t="s">
        <v>1483</v>
      </c>
      <c r="F40" s="873"/>
      <c r="G40" s="874"/>
      <c r="H40" s="579"/>
    </row>
    <row r="41" spans="1:9" ht="15.75">
      <c r="A41" s="29"/>
      <c r="B41" s="34"/>
      <c r="C41" s="142" t="s">
        <v>105</v>
      </c>
      <c r="D41" s="15"/>
      <c r="E41" s="142" t="s">
        <v>1483</v>
      </c>
      <c r="F41" s="873"/>
      <c r="G41" s="874"/>
      <c r="H41" s="579"/>
    </row>
    <row r="42" spans="1:9" ht="15.75">
      <c r="A42" s="29"/>
      <c r="B42" s="34"/>
      <c r="C42" s="142" t="s">
        <v>105</v>
      </c>
      <c r="D42" s="15"/>
      <c r="E42" s="142" t="s">
        <v>1483</v>
      </c>
      <c r="F42" s="873"/>
      <c r="G42" s="874"/>
      <c r="H42" s="579"/>
    </row>
    <row r="43" spans="1:9" ht="15.75">
      <c r="A43" s="29"/>
      <c r="B43" s="34"/>
      <c r="C43" s="142" t="s">
        <v>105</v>
      </c>
      <c r="D43" s="15"/>
      <c r="E43" s="142" t="s">
        <v>1483</v>
      </c>
      <c r="F43" s="873"/>
      <c r="G43" s="874"/>
      <c r="H43" s="579"/>
    </row>
    <row r="44" spans="1:9" ht="15.75">
      <c r="A44" s="29"/>
      <c r="B44" s="34"/>
      <c r="C44" s="142" t="s">
        <v>105</v>
      </c>
      <c r="D44" s="15"/>
      <c r="E44" s="142" t="s">
        <v>1483</v>
      </c>
      <c r="F44" s="873"/>
      <c r="G44" s="874"/>
      <c r="H44" s="579"/>
    </row>
    <row r="45" spans="1:9" ht="15.75">
      <c r="A45" s="29"/>
      <c r="B45" s="34"/>
      <c r="C45" s="142" t="s">
        <v>105</v>
      </c>
      <c r="D45" s="15"/>
      <c r="E45" s="142" t="s">
        <v>1483</v>
      </c>
      <c r="F45" s="873"/>
      <c r="G45" s="874"/>
      <c r="H45" s="579"/>
    </row>
    <row r="46" spans="1:9" ht="15.75">
      <c r="A46" s="29"/>
      <c r="B46" s="34"/>
      <c r="C46" s="142" t="s">
        <v>105</v>
      </c>
      <c r="D46" s="15"/>
      <c r="E46" s="142" t="s">
        <v>1483</v>
      </c>
      <c r="F46" s="873"/>
      <c r="G46" s="874"/>
      <c r="H46" s="579"/>
    </row>
    <row r="47" spans="1:9" ht="15.75">
      <c r="A47" s="29"/>
      <c r="B47" s="34"/>
      <c r="C47" s="142" t="s">
        <v>105</v>
      </c>
      <c r="D47" s="15"/>
      <c r="E47" s="142" t="s">
        <v>1483</v>
      </c>
      <c r="F47" s="873"/>
      <c r="G47" s="874"/>
      <c r="H47" s="579"/>
    </row>
    <row r="48" spans="1:9" ht="6" customHeight="1">
      <c r="A48" s="29"/>
      <c r="B48" s="43"/>
      <c r="C48" s="138"/>
      <c r="D48" s="139"/>
      <c r="E48" s="139"/>
      <c r="F48" s="139"/>
      <c r="G48" s="139"/>
      <c r="H48" s="140"/>
    </row>
    <row r="49" spans="1:9" ht="15.75">
      <c r="A49" s="29"/>
      <c r="B49" s="141"/>
      <c r="C49" s="854" t="s">
        <v>1488</v>
      </c>
      <c r="D49" s="854"/>
      <c r="E49" s="854"/>
      <c r="F49" s="854"/>
      <c r="G49" s="854"/>
      <c r="H49" s="579"/>
      <c r="I49" s="38"/>
    </row>
    <row r="50" spans="1:9" ht="6" customHeight="1">
      <c r="A50" s="29"/>
      <c r="B50" s="43"/>
      <c r="C50" s="138"/>
      <c r="D50" s="139"/>
      <c r="E50" s="139"/>
      <c r="F50" s="139"/>
      <c r="G50" s="139"/>
      <c r="H50" s="140"/>
    </row>
    <row r="51" spans="1:9" ht="15.75">
      <c r="A51" s="29"/>
      <c r="B51" s="34"/>
      <c r="C51" s="142" t="s">
        <v>105</v>
      </c>
      <c r="D51" s="15"/>
      <c r="E51" s="142" t="s">
        <v>1483</v>
      </c>
      <c r="F51" s="873"/>
      <c r="G51" s="874"/>
      <c r="H51" s="579"/>
    </row>
    <row r="52" spans="1:9" ht="15.75">
      <c r="A52" s="29"/>
      <c r="B52" s="34"/>
      <c r="C52" s="142" t="s">
        <v>105</v>
      </c>
      <c r="D52" s="15"/>
      <c r="E52" s="142" t="s">
        <v>1483</v>
      </c>
      <c r="F52" s="873"/>
      <c r="G52" s="874"/>
      <c r="H52" s="579"/>
    </row>
    <row r="53" spans="1:9" ht="15.75">
      <c r="A53" s="29"/>
      <c r="B53" s="34"/>
      <c r="C53" s="142" t="s">
        <v>105</v>
      </c>
      <c r="D53" s="15"/>
      <c r="E53" s="142" t="s">
        <v>1483</v>
      </c>
      <c r="F53" s="873"/>
      <c r="G53" s="874"/>
      <c r="H53" s="579"/>
    </row>
    <row r="54" spans="1:9" ht="15.75">
      <c r="A54" s="29"/>
      <c r="B54" s="34"/>
      <c r="C54" s="142" t="s">
        <v>105</v>
      </c>
      <c r="D54" s="15"/>
      <c r="E54" s="142" t="s">
        <v>1483</v>
      </c>
      <c r="F54" s="873"/>
      <c r="G54" s="874"/>
      <c r="H54" s="579"/>
    </row>
    <row r="55" spans="1:9" ht="15.75">
      <c r="A55" s="29"/>
      <c r="B55" s="34"/>
      <c r="C55" s="142" t="s">
        <v>105</v>
      </c>
      <c r="D55" s="15"/>
      <c r="E55" s="142" t="s">
        <v>1483</v>
      </c>
      <c r="F55" s="873"/>
      <c r="G55" s="874"/>
      <c r="H55" s="579"/>
    </row>
    <row r="56" spans="1:9" ht="15.75">
      <c r="A56" s="29"/>
      <c r="B56" s="34"/>
      <c r="C56" s="142" t="s">
        <v>105</v>
      </c>
      <c r="D56" s="15"/>
      <c r="E56" s="142" t="s">
        <v>1483</v>
      </c>
      <c r="F56" s="873"/>
      <c r="G56" s="874"/>
      <c r="H56" s="579"/>
    </row>
    <row r="57" spans="1:9" ht="15.75">
      <c r="A57" s="29"/>
      <c r="B57" s="34"/>
      <c r="C57" s="142" t="s">
        <v>105</v>
      </c>
      <c r="D57" s="15"/>
      <c r="E57" s="142" t="s">
        <v>1483</v>
      </c>
      <c r="F57" s="873"/>
      <c r="G57" s="874"/>
      <c r="H57" s="579"/>
    </row>
    <row r="58" spans="1:9" ht="15.75">
      <c r="A58" s="29"/>
      <c r="B58" s="34"/>
      <c r="C58" s="142" t="s">
        <v>105</v>
      </c>
      <c r="D58" s="15"/>
      <c r="E58" s="142" t="s">
        <v>1483</v>
      </c>
      <c r="F58" s="873"/>
      <c r="G58" s="874"/>
      <c r="H58" s="579"/>
    </row>
    <row r="59" spans="1:9" ht="15.75">
      <c r="A59" s="29"/>
      <c r="B59" s="34"/>
      <c r="C59" s="142" t="s">
        <v>105</v>
      </c>
      <c r="D59" s="15"/>
      <c r="E59" s="142" t="s">
        <v>1483</v>
      </c>
      <c r="F59" s="873"/>
      <c r="G59" s="874"/>
      <c r="H59" s="579"/>
    </row>
    <row r="60" spans="1:9" ht="15.75">
      <c r="A60" s="29"/>
      <c r="B60" s="34"/>
      <c r="C60" s="142" t="s">
        <v>105</v>
      </c>
      <c r="D60" s="15"/>
      <c r="E60" s="142" t="s">
        <v>1483</v>
      </c>
      <c r="F60" s="873"/>
      <c r="G60" s="874"/>
      <c r="H60" s="579"/>
    </row>
    <row r="61" spans="1:9" ht="6" customHeight="1" thickBot="1">
      <c r="A61" s="29"/>
      <c r="B61" s="145"/>
      <c r="C61" s="146"/>
      <c r="D61" s="56"/>
      <c r="E61" s="56"/>
      <c r="F61" s="56"/>
      <c r="G61" s="56"/>
      <c r="H61" s="57"/>
    </row>
    <row r="62" spans="1:9"/>
    <row r="63" spans="1:9"/>
    <row r="64" spans="1:9"/>
    <row r="65"/>
  </sheetData>
  <sheetProtection algorithmName="SHA-512" hashValue="lp1OXaukloNwbjZ5vjM8xWCZpxup4/Rn2cxXzcopslmMEZ8PiC44DAZXwDPURXaVzaeDw3KXsR/wsIDJhKGf2w==" saltValue="h34P58THKLJW26R47oLK9A==" spinCount="100000" sheet="1" formatRows="0"/>
  <mergeCells count="48">
    <mergeCell ref="F58:G58"/>
    <mergeCell ref="F59:G59"/>
    <mergeCell ref="F60:G60"/>
    <mergeCell ref="C4:F4"/>
    <mergeCell ref="F53:G53"/>
    <mergeCell ref="F54:G54"/>
    <mergeCell ref="F55:G55"/>
    <mergeCell ref="F56:G56"/>
    <mergeCell ref="F57:G57"/>
    <mergeCell ref="F45:G45"/>
    <mergeCell ref="F46:G46"/>
    <mergeCell ref="F47:G47"/>
    <mergeCell ref="F51:G51"/>
    <mergeCell ref="F52:G52"/>
    <mergeCell ref="F40:G40"/>
    <mergeCell ref="F41:G41"/>
    <mergeCell ref="F42:G42"/>
    <mergeCell ref="F43:G43"/>
    <mergeCell ref="F44:G44"/>
    <mergeCell ref="F31:G31"/>
    <mergeCell ref="F32:G32"/>
    <mergeCell ref="F26:G26"/>
    <mergeCell ref="F38:G38"/>
    <mergeCell ref="F39:G39"/>
    <mergeCell ref="C36:G36"/>
    <mergeCell ref="C34:H34"/>
    <mergeCell ref="C49:G49"/>
    <mergeCell ref="C35:G35"/>
    <mergeCell ref="C9:H9"/>
    <mergeCell ref="F16:G16"/>
    <mergeCell ref="F17:G17"/>
    <mergeCell ref="F18:G18"/>
    <mergeCell ref="F19:G19"/>
    <mergeCell ref="F20:G20"/>
    <mergeCell ref="F21:G21"/>
    <mergeCell ref="F22:G22"/>
    <mergeCell ref="F27:G27"/>
    <mergeCell ref="F28:G28"/>
    <mergeCell ref="F29:G29"/>
    <mergeCell ref="F30:G30"/>
    <mergeCell ref="C24:G24"/>
    <mergeCell ref="C11:H11"/>
    <mergeCell ref="C14:G14"/>
    <mergeCell ref="C12:G12"/>
    <mergeCell ref="C2:H2"/>
    <mergeCell ref="C6:H6"/>
    <mergeCell ref="C7:H7"/>
    <mergeCell ref="C8:G8"/>
  </mergeCells>
  <dataValidations count="2">
    <dataValidation type="list" allowBlank="1" showInputMessage="1" showErrorMessage="1" sqref="D11:H11 D34:H34" xr:uid="{00000000-0002-0000-0500-000000000000}">
      <formula1>INDIRECT("SecondaryBuildingUse")</formula1>
    </dataValidation>
    <dataValidation type="list" allowBlank="1" showInputMessage="1" showErrorMessage="1" sqref="D11:H11 D34:H34" xr:uid="{00000000-0002-0000-0500-000001000000}">
      <formula1>INDIRECT("ConstructionType")</formula1>
    </dataValidation>
  </dataValidations>
  <hyperlinks>
    <hyperlink ref="C8" r:id="rId1" xr:uid="{00000000-0004-0000-0500-000000000000}"/>
  </hyperlinks>
  <pageMargins left="0.7" right="0.7" top="0.75" bottom="0.75" header="0.3" footer="0.3"/>
  <pageSetup fitToWidth="0" fitToHeight="0" orientation="portrait" r:id="rId2"/>
  <rowBreaks count="1" manualBreakCount="1">
    <brk id="33" min="1" max="7" man="1"/>
  </rowBreaks>
  <drawing r:id="rId3"/>
  <extLst>
    <ext xmlns:x14="http://schemas.microsoft.com/office/spreadsheetml/2009/9/main" uri="{78C0D931-6437-407d-A8EE-F0AAD7539E65}">
      <x14:conditionalFormattings>
        <x14:conditionalFormatting xmlns:xm="http://schemas.microsoft.com/office/excel/2006/main">
          <x14:cfRule type="expression" priority="1158" id="{86E7D954-8B35-43D4-907B-C28D862472D6}">
            <xm:f>NOT('2. Project Info'!$D$19&gt;='Backend (to be hidden)'!$CN$11)</xm:f>
            <x14:dxf>
              <font>
                <color theme="0"/>
              </font>
              <fill>
                <patternFill>
                  <bgColor theme="0" tint="-0.24994659260841701"/>
                </patternFill>
              </fill>
            </x14:dxf>
          </x14:cfRule>
          <x14:cfRule type="expression" priority="1159" id="{2CF7921E-FA5E-40A6-A7E5-F9CF1FA82EA7}">
            <xm:f>NOT('4. Results &amp; Compliance'!$H$13='Backend (to be hidden)'!$CL$12)</xm:f>
            <x14:dxf>
              <font>
                <color theme="0"/>
              </font>
              <fill>
                <patternFill>
                  <bgColor theme="0" tint="-0.24994659260841701"/>
                </patternFill>
              </fill>
            </x14:dxf>
          </x14:cfRule>
          <xm:sqref>C24</xm:sqref>
        </x14:conditionalFormatting>
        <x14:conditionalFormatting xmlns:xm="http://schemas.microsoft.com/office/excel/2006/main">
          <x14:cfRule type="expression" priority="5" id="{CED4A977-E21D-45A7-A8FC-F8E9E77D89E2}">
            <xm:f>OR('3. EC Modelling Info'!$F$120="No",ISBLANK('3. EC Modelling Info'!$F$120))</xm:f>
            <x14:dxf>
              <font>
                <color theme="0"/>
              </font>
              <fill>
                <patternFill>
                  <bgColor theme="0" tint="-0.24994659260841701"/>
                </patternFill>
              </fill>
            </x14:dxf>
          </x14:cfRule>
          <xm:sqref>C36 C49</xm:sqref>
        </x14:conditionalFormatting>
        <x14:conditionalFormatting xmlns:xm="http://schemas.microsoft.com/office/excel/2006/main">
          <x14:cfRule type="expression" priority="1160" id="{CCC8563A-91D6-4B39-8757-A72D8179D1DE}">
            <xm:f>NOT('4. Results &amp; Compliance'!$H$13='Backend (to be hidden)'!$CL$12)</xm:f>
            <x14:dxf>
              <font>
                <color theme="0" tint="-0.14996795556505021"/>
              </font>
              <fill>
                <patternFill>
                  <bgColor theme="0" tint="-0.14996795556505021"/>
                </patternFill>
              </fill>
              <border>
                <left/>
                <right/>
                <top/>
                <bottom/>
                <vertical/>
                <horizontal/>
              </border>
            </x14:dxf>
          </x14:cfRule>
          <x14:cfRule type="expression" priority="1161" id="{8AC2AFA0-8F81-4889-8E25-B57285890CA1}">
            <xm:f>NOT('2. Project Info'!$D$19&gt;='Backend (to be hidden)'!$CN$11)</xm:f>
            <x14:dxf>
              <font>
                <color theme="0" tint="-0.14996795556505021"/>
              </font>
              <fill>
                <patternFill>
                  <bgColor theme="0" tint="-0.14996795556505021"/>
                </patternFill>
              </fill>
              <border>
                <left/>
                <right/>
                <top/>
                <bottom/>
              </border>
            </x14:dxf>
          </x14:cfRule>
          <xm:sqref>C26:G32</xm:sqref>
        </x14:conditionalFormatting>
        <x14:conditionalFormatting xmlns:xm="http://schemas.microsoft.com/office/excel/2006/main">
          <x14:cfRule type="expression" priority="4" id="{2E3CF859-88CD-4EA7-A88E-40982E0422DC}">
            <xm:f>OR('3. EC Modelling Info'!$F$120="No",ISBLANK('3. EC Modelling Info'!$F$120))</xm:f>
            <x14:dxf>
              <font>
                <color theme="0" tint="-0.14996795556505021"/>
              </font>
              <fill>
                <patternFill>
                  <bgColor theme="0" tint="-0.14996795556505021"/>
                </patternFill>
              </fill>
              <border>
                <left/>
                <right/>
                <top/>
                <bottom/>
                <vertical/>
                <horizontal/>
              </border>
            </x14:dxf>
          </x14:cfRule>
          <xm:sqref>C38:G47 C51:G60</xm:sqref>
        </x14:conditionalFormatting>
        <x14:conditionalFormatting xmlns:xm="http://schemas.microsoft.com/office/excel/2006/main">
          <x14:cfRule type="expression" priority="1" id="{C58F99C0-9D1D-4A34-BA61-EAD3AF84D0AA}">
            <xm:f>OR('3. EC Modelling Info'!$F$120="No",ISBLANK('3. EC Modelling Info'!$F$120))</xm:f>
            <x14:dxf>
              <font>
                <color theme="1" tint="0.34998626667073579"/>
              </font>
              <fill>
                <patternFill>
                  <bgColor theme="0" tint="-0.14996795556505021"/>
                </patternFill>
              </fill>
            </x14:dxf>
          </x14:cfRule>
          <xm:sqref>C34:H34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3000000}">
          <x14:formula1>
            <xm:f>'Backend (to be hidden)'!$DB$2:$DB$15</xm:f>
          </x14:formula1>
          <xm:sqref>F26:F32 F16:F22</xm:sqref>
        </x14:dataValidation>
        <x14:dataValidation type="list" allowBlank="1" showInputMessage="1" showErrorMessage="1" xr:uid="{B93F8993-56F7-4EE9-AC57-2097CBC5D931}">
          <x14:formula1>
            <xm:f>'Backend (to be hidden)'!$CH$29:$CH$35</xm:f>
          </x14:formula1>
          <xm:sqref>F51:F60 F38:F47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39997558519241921"/>
    <outlinePr summaryBelow="0"/>
  </sheetPr>
  <dimension ref="A1:M318"/>
  <sheetViews>
    <sheetView workbookViewId="0">
      <selection activeCell="D17" sqref="D17:H17"/>
    </sheetView>
  </sheetViews>
  <sheetFormatPr defaultColWidth="0" defaultRowHeight="15" zeroHeight="1" outlineLevelRow="1"/>
  <cols>
    <col min="1" max="2" width="0.7109375" customWidth="1"/>
    <col min="3" max="3" width="72.28515625" customWidth="1"/>
    <col min="4" max="4" width="11.7109375" customWidth="1"/>
    <col min="5" max="5" width="1.42578125" customWidth="1"/>
    <col min="6" max="6" width="10.28515625" customWidth="1"/>
    <col min="7" max="7" width="1.42578125" customWidth="1"/>
    <col min="8" max="8" width="17.140625" customWidth="1"/>
    <col min="9" max="9" width="1.85546875" customWidth="1"/>
    <col min="10" max="12" width="21.7109375" customWidth="1"/>
    <col min="13" max="13" width="0" hidden="1" customWidth="1"/>
    <col min="14" max="16384" width="9.140625" hidden="1"/>
  </cols>
  <sheetData>
    <row r="1" spans="1:12" ht="6" customHeight="1" thickBot="1">
      <c r="A1" s="29"/>
      <c r="B1" s="29"/>
      <c r="C1" s="29"/>
      <c r="D1" s="29"/>
      <c r="E1" s="29"/>
      <c r="F1" s="29"/>
      <c r="G1" s="29"/>
      <c r="H1" s="30"/>
      <c r="I1" s="33"/>
    </row>
    <row r="2" spans="1:12" ht="30.75" customHeight="1">
      <c r="A2" s="29"/>
      <c r="B2" s="31"/>
      <c r="C2" s="758" t="s">
        <v>218</v>
      </c>
      <c r="D2" s="758"/>
      <c r="E2" s="758"/>
      <c r="F2" s="758"/>
      <c r="G2" s="758"/>
      <c r="H2" s="758"/>
      <c r="I2" s="301"/>
      <c r="J2" s="6"/>
      <c r="K2" s="6"/>
      <c r="L2" s="6"/>
    </row>
    <row r="3" spans="1:12" ht="15" customHeight="1">
      <c r="A3" s="29"/>
      <c r="B3" s="34"/>
      <c r="C3" s="133"/>
      <c r="D3" s="133"/>
      <c r="E3" s="133"/>
      <c r="F3" s="133"/>
      <c r="G3" s="133"/>
      <c r="H3" s="36" t="s">
        <v>545</v>
      </c>
      <c r="I3" s="134"/>
      <c r="J3" s="6"/>
      <c r="K3" s="6"/>
      <c r="L3" s="6"/>
    </row>
    <row r="4" spans="1:12" ht="15.75">
      <c r="A4" s="29"/>
      <c r="B4" s="39"/>
      <c r="C4" s="875" t="s">
        <v>1037</v>
      </c>
      <c r="D4" s="875"/>
      <c r="E4" s="875"/>
      <c r="F4" s="875"/>
      <c r="G4" s="886" t="s">
        <v>1611</v>
      </c>
      <c r="H4" s="886"/>
      <c r="I4" s="42"/>
      <c r="J4" s="6"/>
      <c r="K4" s="6"/>
      <c r="L4" s="6"/>
    </row>
    <row r="5" spans="1:12" ht="15.75">
      <c r="A5" s="29"/>
      <c r="B5" s="39"/>
      <c r="C5" s="885" t="s">
        <v>1038</v>
      </c>
      <c r="D5" s="885"/>
      <c r="E5" s="885"/>
      <c r="F5" s="885"/>
      <c r="G5" s="885"/>
      <c r="H5" s="885"/>
      <c r="I5" s="42"/>
      <c r="J5" s="6"/>
      <c r="K5" s="6"/>
      <c r="L5" s="6"/>
    </row>
    <row r="6" spans="1:12" ht="6" customHeight="1" thickBot="1">
      <c r="A6" s="29"/>
      <c r="B6" s="43"/>
      <c r="C6" s="475"/>
      <c r="D6" s="476"/>
      <c r="E6" s="476"/>
      <c r="F6" s="476"/>
      <c r="G6" s="476"/>
      <c r="H6" s="476"/>
      <c r="I6" s="140"/>
      <c r="J6" s="6"/>
      <c r="K6" s="6"/>
      <c r="L6" s="6"/>
    </row>
    <row r="7" spans="1:12" ht="15.75">
      <c r="A7" s="29"/>
      <c r="B7" s="136"/>
      <c r="C7" s="795" t="s">
        <v>0</v>
      </c>
      <c r="D7" s="795"/>
      <c r="E7" s="795"/>
      <c r="F7" s="795"/>
      <c r="G7" s="795"/>
      <c r="H7" s="795"/>
      <c r="I7" s="199"/>
      <c r="J7" s="6"/>
      <c r="K7" s="6"/>
      <c r="L7" s="6"/>
    </row>
    <row r="8" spans="1:12" ht="75.75" customHeight="1">
      <c r="A8" s="29"/>
      <c r="B8" s="49"/>
      <c r="C8" s="819" t="s">
        <v>1475</v>
      </c>
      <c r="D8" s="819"/>
      <c r="E8" s="819"/>
      <c r="F8" s="819"/>
      <c r="G8" s="819"/>
      <c r="H8" s="819"/>
      <c r="I8" s="137"/>
      <c r="J8" s="533"/>
      <c r="K8" s="533"/>
      <c r="L8" s="6"/>
    </row>
    <row r="9" spans="1:12" ht="45.75" customHeight="1">
      <c r="A9" s="28"/>
      <c r="B9" s="148"/>
      <c r="C9" s="882" t="s">
        <v>1608</v>
      </c>
      <c r="D9" s="882"/>
      <c r="E9" s="882"/>
      <c r="F9" s="882"/>
      <c r="G9" s="882"/>
      <c r="H9" s="882"/>
      <c r="I9" s="150"/>
      <c r="J9" s="6"/>
      <c r="K9" s="6"/>
      <c r="L9" s="6"/>
    </row>
    <row r="10" spans="1:12" ht="6" customHeight="1" thickBot="1">
      <c r="A10" s="29"/>
      <c r="B10" s="72"/>
      <c r="C10" s="44"/>
      <c r="D10" s="45"/>
      <c r="E10" s="45"/>
      <c r="F10" s="45"/>
      <c r="G10" s="45"/>
      <c r="H10" s="45"/>
      <c r="I10" s="46"/>
      <c r="J10" s="6"/>
      <c r="K10" s="6"/>
      <c r="L10" s="6"/>
    </row>
    <row r="11" spans="1:12" ht="20.25" customHeight="1">
      <c r="A11" s="102"/>
      <c r="B11" s="258"/>
      <c r="C11" s="883" t="s">
        <v>1016</v>
      </c>
      <c r="D11" s="883"/>
      <c r="E11" s="883"/>
      <c r="F11" s="883"/>
      <c r="G11" s="883"/>
      <c r="H11" s="883"/>
      <c r="I11" s="259"/>
      <c r="J11" s="6"/>
      <c r="K11" s="6"/>
      <c r="L11" s="6"/>
    </row>
    <row r="12" spans="1:12" ht="6" customHeight="1">
      <c r="A12" s="28"/>
      <c r="B12" s="148"/>
      <c r="C12" s="272"/>
      <c r="D12" s="272"/>
      <c r="E12" s="272"/>
      <c r="F12" s="272"/>
      <c r="G12" s="272"/>
      <c r="H12" s="272"/>
      <c r="I12" s="150"/>
      <c r="J12" s="6"/>
      <c r="K12" s="6"/>
      <c r="L12" s="6"/>
    </row>
    <row r="13" spans="1:12" ht="119.25" customHeight="1">
      <c r="A13" s="28"/>
      <c r="B13" s="148"/>
      <c r="C13" s="884" t="s">
        <v>1476</v>
      </c>
      <c r="D13" s="884"/>
      <c r="E13" s="884"/>
      <c r="F13" s="884"/>
      <c r="G13" s="884"/>
      <c r="H13" s="884"/>
      <c r="I13" s="150"/>
      <c r="J13" s="306"/>
      <c r="K13" s="306"/>
      <c r="L13" s="6"/>
    </row>
    <row r="14" spans="1:12" ht="8.4499999999999993" customHeight="1">
      <c r="A14" s="28"/>
      <c r="B14" s="148"/>
      <c r="C14" s="423"/>
      <c r="D14" s="423"/>
      <c r="E14" s="423"/>
      <c r="F14" s="423"/>
      <c r="G14" s="423"/>
      <c r="H14" s="423"/>
      <c r="I14" s="150"/>
      <c r="J14" s="6"/>
      <c r="K14" s="6"/>
      <c r="L14" s="6"/>
    </row>
    <row r="15" spans="1:12" ht="15" customHeight="1">
      <c r="A15" s="28"/>
      <c r="B15" s="148"/>
      <c r="C15" s="286" t="s">
        <v>1607</v>
      </c>
      <c r="D15" s="876" t="str">
        <f>IF('3. EC Modelling Info'!F90="Yes","Yes",IF('3. EC Modelling Info'!F90="No","No","See cell F90 in sheet 3. EC Modelling Info"))</f>
        <v>Yes</v>
      </c>
      <c r="E15" s="877"/>
      <c r="F15" s="877"/>
      <c r="G15" s="877"/>
      <c r="H15" s="878"/>
      <c r="I15" s="150"/>
      <c r="J15" s="6"/>
      <c r="K15" s="6"/>
      <c r="L15" s="6"/>
    </row>
    <row r="16" spans="1:12" ht="15" hidden="1" customHeight="1">
      <c r="A16" s="28"/>
      <c r="B16" s="148"/>
      <c r="C16" s="286"/>
      <c r="D16" s="286"/>
      <c r="E16" s="286"/>
      <c r="F16" s="286"/>
      <c r="G16" s="286"/>
      <c r="H16" s="286"/>
      <c r="I16" s="150"/>
      <c r="J16" s="6"/>
      <c r="K16" s="6"/>
      <c r="L16" s="6"/>
    </row>
    <row r="17" spans="1:12" ht="18" customHeight="1">
      <c r="A17" s="28"/>
      <c r="B17" s="141"/>
      <c r="C17" s="286" t="s">
        <v>1036</v>
      </c>
      <c r="D17" s="786" t="s">
        <v>75</v>
      </c>
      <c r="E17" s="787"/>
      <c r="F17" s="787"/>
      <c r="G17" s="787"/>
      <c r="H17" s="788"/>
      <c r="I17" s="150"/>
      <c r="J17" s="347"/>
      <c r="K17" s="347"/>
      <c r="L17" s="6"/>
    </row>
    <row r="18" spans="1:12" ht="18" hidden="1" customHeight="1">
      <c r="A18" s="28"/>
      <c r="B18" s="141"/>
      <c r="C18" s="268"/>
      <c r="D18" s="268"/>
      <c r="E18" s="264"/>
      <c r="F18" s="268"/>
      <c r="G18" s="268"/>
      <c r="H18" s="268"/>
      <c r="I18" s="150"/>
      <c r="J18" s="347"/>
      <c r="K18" s="347"/>
      <c r="L18" s="6"/>
    </row>
    <row r="19" spans="1:12" ht="39.75" customHeight="1">
      <c r="A19" s="28"/>
      <c r="B19" s="141"/>
      <c r="C19" s="572" t="s">
        <v>1685</v>
      </c>
      <c r="D19" s="879" t="str">
        <f>IF('4. Results &amp; Compliance'!H13='Backend (to be hidden)'!CL11,'Backend (to be hidden)'!BV2,IF('3. EC Modelling Info'!$F$59="No",'Backend (to be hidden)'!$BV$2,'3. EC Modelling Info'!$F$62))</f>
        <v>None</v>
      </c>
      <c r="E19" s="880"/>
      <c r="F19" s="880"/>
      <c r="G19" s="880"/>
      <c r="H19" s="881"/>
      <c r="I19" s="150"/>
      <c r="J19" s="347"/>
      <c r="K19" s="347"/>
      <c r="L19" s="6"/>
    </row>
    <row r="20" spans="1:12" ht="8.1" customHeight="1">
      <c r="A20" s="28"/>
      <c r="B20" s="141"/>
      <c r="C20" s="481"/>
      <c r="D20" s="480"/>
      <c r="E20" s="481"/>
      <c r="F20" s="481"/>
      <c r="G20" s="481"/>
      <c r="H20" s="481"/>
      <c r="I20" s="150"/>
      <c r="J20" s="347"/>
      <c r="K20" s="347"/>
      <c r="L20" s="6"/>
    </row>
    <row r="21" spans="1:12" ht="15" customHeight="1">
      <c r="A21" s="28"/>
      <c r="B21" s="141"/>
      <c r="C21" s="887" t="s">
        <v>1424</v>
      </c>
      <c r="D21" s="887"/>
      <c r="E21" s="887"/>
      <c r="F21" s="887"/>
      <c r="G21" s="887"/>
      <c r="H21" s="887"/>
      <c r="I21" s="150"/>
      <c r="J21" s="347"/>
      <c r="K21" s="347"/>
      <c r="L21" s="6"/>
    </row>
    <row r="22" spans="1:12" ht="8.4499999999999993" customHeight="1">
      <c r="A22" s="28"/>
      <c r="B22" s="148"/>
      <c r="C22" s="423"/>
      <c r="D22" s="423"/>
      <c r="E22" s="423"/>
      <c r="F22" s="423"/>
      <c r="G22" s="423"/>
      <c r="H22" s="423"/>
      <c r="I22" s="150"/>
      <c r="J22" s="6"/>
      <c r="K22" s="6"/>
      <c r="L22" s="6"/>
    </row>
    <row r="23" spans="1:12" ht="18" customHeight="1">
      <c r="A23" s="28"/>
      <c r="B23" s="148"/>
      <c r="C23" s="854" t="s">
        <v>1039</v>
      </c>
      <c r="D23" s="854"/>
      <c r="E23" s="854"/>
      <c r="F23" s="854"/>
      <c r="G23" s="854"/>
      <c r="H23" s="854"/>
      <c r="I23" s="150"/>
      <c r="J23" s="306"/>
      <c r="K23" s="306"/>
      <c r="L23" s="6"/>
    </row>
    <row r="24" spans="1:12" ht="6" customHeight="1">
      <c r="A24" s="28"/>
      <c r="B24" s="148"/>
      <c r="C24" s="262"/>
      <c r="D24" s="262"/>
      <c r="E24" s="262"/>
      <c r="F24" s="262"/>
      <c r="G24" s="262"/>
      <c r="H24" s="262"/>
      <c r="I24" s="150"/>
      <c r="J24" s="6"/>
      <c r="K24" s="6"/>
      <c r="L24" s="6"/>
    </row>
    <row r="25" spans="1:12">
      <c r="A25" s="28"/>
      <c r="B25" s="141"/>
      <c r="C25" s="302"/>
      <c r="D25" s="262"/>
      <c r="E25" s="257"/>
      <c r="F25" s="257"/>
      <c r="G25" s="264" t="s">
        <v>1276</v>
      </c>
      <c r="H25" s="171">
        <f>IF(SUM($H$34:$H$70,$H$76:$H$172)&lt;0,SUM($H$34:$H$70,$H$76:$H$172),"")</f>
        <v>-96825.357201902851</v>
      </c>
      <c r="I25" s="150"/>
      <c r="J25" s="505"/>
      <c r="K25" s="505"/>
      <c r="L25" s="6"/>
    </row>
    <row r="26" spans="1:12">
      <c r="A26" s="28"/>
      <c r="B26" s="141"/>
      <c r="C26" s="302"/>
      <c r="D26" s="262"/>
      <c r="E26" s="257"/>
      <c r="F26" s="257"/>
      <c r="G26" s="264" t="s">
        <v>1425</v>
      </c>
      <c r="H26" s="171">
        <f>IF(SUM($H$34:$H$70,$H$76:$H$172)&lt;0,SUM($H$34:$H$70,$H$76:$H$172)/'2. Project Info'!$D$41,"")</f>
        <v>-19.365071440380571</v>
      </c>
      <c r="I26" s="150"/>
      <c r="J26" s="505"/>
      <c r="K26" s="505"/>
      <c r="L26" s="6"/>
    </row>
    <row r="27" spans="1:12">
      <c r="A27" s="28"/>
      <c r="B27" s="141"/>
      <c r="C27" s="302"/>
      <c r="D27" s="262"/>
      <c r="E27" s="257"/>
      <c r="F27" s="257"/>
      <c r="G27" s="264" t="s">
        <v>1500</v>
      </c>
      <c r="H27" s="620">
        <f>IF(ISNUMBER(H25),('Backend (to be hidden)'!$CI$18)*(-1)/'Backend (to be hidden)'!$CM$3,"")</f>
        <v>0.10349919954212106</v>
      </c>
      <c r="I27" s="150"/>
      <c r="J27" s="505"/>
      <c r="K27" s="505"/>
      <c r="L27" s="6"/>
    </row>
    <row r="28" spans="1:12" ht="8.1" customHeight="1">
      <c r="A28" s="28"/>
      <c r="B28" s="148"/>
      <c r="C28" s="425"/>
      <c r="D28" s="423"/>
      <c r="E28" s="423"/>
      <c r="F28" s="423"/>
      <c r="G28" s="423"/>
      <c r="H28" s="423"/>
      <c r="I28" s="150"/>
      <c r="J28" s="6"/>
      <c r="K28" s="6"/>
      <c r="L28" s="6"/>
    </row>
    <row r="29" spans="1:12" ht="18" customHeight="1">
      <c r="A29" s="28"/>
      <c r="B29" s="148"/>
      <c r="C29" s="854" t="s">
        <v>1277</v>
      </c>
      <c r="D29" s="854"/>
      <c r="E29" s="854"/>
      <c r="F29" s="854"/>
      <c r="G29" s="854"/>
      <c r="H29" s="854"/>
      <c r="I29" s="150"/>
      <c r="J29" s="6"/>
      <c r="K29" s="6"/>
      <c r="L29" s="6"/>
    </row>
    <row r="30" spans="1:12">
      <c r="A30" s="28"/>
      <c r="B30" s="148"/>
      <c r="C30" s="425" t="s">
        <v>1517</v>
      </c>
      <c r="D30" s="257"/>
      <c r="E30" s="257"/>
      <c r="F30" s="257"/>
      <c r="G30" s="257"/>
      <c r="H30" s="257"/>
      <c r="I30" s="150"/>
      <c r="J30" s="6"/>
      <c r="K30" s="6"/>
      <c r="L30" s="6"/>
    </row>
    <row r="31" spans="1:12" ht="27" outlineLevel="1">
      <c r="A31" s="28"/>
      <c r="B31" s="260"/>
      <c r="C31" s="571" t="s">
        <v>1017</v>
      </c>
      <c r="D31" s="178" t="s">
        <v>560</v>
      </c>
      <c r="E31" s="178"/>
      <c r="F31" s="178" t="s">
        <v>561</v>
      </c>
      <c r="G31" s="178"/>
      <c r="H31" s="178" t="s">
        <v>1209</v>
      </c>
      <c r="I31" s="150"/>
      <c r="J31" s="6"/>
      <c r="K31" s="6"/>
      <c r="L31" s="6"/>
    </row>
    <row r="32" spans="1:12" ht="8.1" customHeight="1" outlineLevel="1">
      <c r="A32" s="28"/>
      <c r="B32" s="260"/>
      <c r="C32" s="257"/>
      <c r="D32" s="257"/>
      <c r="E32" s="257"/>
      <c r="F32" s="257"/>
      <c r="G32" s="257"/>
      <c r="H32" s="257"/>
      <c r="I32" s="150"/>
      <c r="J32" s="6"/>
      <c r="K32" s="6"/>
      <c r="L32" s="6"/>
    </row>
    <row r="33" spans="1:12" outlineLevel="1">
      <c r="A33" s="28"/>
      <c r="B33" s="260"/>
      <c r="C33" s="286" t="str">
        <f>'Backend (to be hidden)'!EU2</f>
        <v xml:space="preserve">Core and Shell New Materials </v>
      </c>
      <c r="D33" s="262"/>
      <c r="E33" s="262"/>
      <c r="F33" s="262"/>
      <c r="G33" s="262"/>
      <c r="H33" s="262"/>
      <c r="I33" s="150"/>
      <c r="J33" s="6"/>
      <c r="K33" s="6"/>
      <c r="L33" s="6"/>
    </row>
    <row r="34" spans="1:12" outlineLevel="1">
      <c r="A34" s="28"/>
      <c r="B34" s="260"/>
      <c r="C34" s="568" t="str">
        <f>'Backend (to be hidden)'!EU3</f>
        <v xml:space="preserve">Bamboo cladding </v>
      </c>
      <c r="D34" s="427"/>
      <c r="E34" s="261"/>
      <c r="F34" s="261" t="str">
        <f>VLOOKUP(C34,'Backend (to be hidden)'!$EU$3:$EY$39,5,FALSE)</f>
        <v>m³</v>
      </c>
      <c r="G34" s="267"/>
      <c r="H34" s="428" t="str">
        <f>IF(ISNUMBER(D34),D34*VLOOKUP(C34,'Backend (to be hidden)'!$EU$3:$EY$41,4,FALSE)*-1,"")</f>
        <v/>
      </c>
      <c r="I34" s="150"/>
      <c r="J34" s="6"/>
      <c r="K34" s="6"/>
      <c r="L34" s="6"/>
    </row>
    <row r="35" spans="1:12" outlineLevel="1">
      <c r="A35" s="28"/>
      <c r="B35" s="260"/>
      <c r="C35" s="568" t="str">
        <f>'Backend (to be hidden)'!EU4</f>
        <v>Cellulose / dense pack / R 3.7 per inch</v>
      </c>
      <c r="D35" s="427">
        <v>1000</v>
      </c>
      <c r="E35" s="261"/>
      <c r="F35" s="261" t="str">
        <f>VLOOKUP(C35,'Backend (to be hidden)'!$EU$3:$EY$39,5,FALSE)</f>
        <v>m³</v>
      </c>
      <c r="G35" s="267"/>
      <c r="H35" s="483">
        <f>IF(ISNUMBER(D35),D35*VLOOKUP(C35,'Backend (to be hidden)'!$EU$3:$EY$41,4,FALSE)*-1,"")</f>
        <v>-79516.605590703693</v>
      </c>
      <c r="I35" s="150"/>
      <c r="J35" s="6"/>
      <c r="K35" s="6"/>
      <c r="L35" s="6"/>
    </row>
    <row r="36" spans="1:12" outlineLevel="1">
      <c r="A36" s="28"/>
      <c r="B36" s="260"/>
      <c r="C36" s="568" t="str">
        <f>'Backend (to be hidden)'!EU5</f>
        <v>Cellulose / loose fill / R 3.7 per inch</v>
      </c>
      <c r="D36" s="427">
        <v>500</v>
      </c>
      <c r="E36" s="261"/>
      <c r="F36" s="261" t="str">
        <f>VLOOKUP(C36,'Backend (to be hidden)'!$EU$3:$EY$39,5,FALSE)</f>
        <v>m³</v>
      </c>
      <c r="G36" s="267"/>
      <c r="H36" s="483">
        <f>IF(ISNUMBER(D36),D36*VLOOKUP(C36,'Backend (to be hidden)'!$EU$3:$EY$41,4,FALSE)*-1,"")</f>
        <v>-17308.751611199154</v>
      </c>
      <c r="I36" s="150"/>
      <c r="J36" s="6"/>
      <c r="K36" s="6"/>
      <c r="L36" s="6"/>
    </row>
    <row r="37" spans="1:12" outlineLevel="1">
      <c r="A37" s="28"/>
      <c r="B37" s="260"/>
      <c r="C37" s="568" t="str">
        <f>'Backend (to be hidden)'!EU6</f>
        <v xml:space="preserve">Fiber Cement siding </v>
      </c>
      <c r="D37" s="427"/>
      <c r="E37" s="261"/>
      <c r="F37" s="261" t="str">
        <f>VLOOKUP(C37,'Backend (to be hidden)'!$EU$3:$EY$39,5,FALSE)</f>
        <v>m³</v>
      </c>
      <c r="G37" s="267"/>
      <c r="H37" s="483" t="str">
        <f>IF(ISNUMBER(D37),D37*VLOOKUP(C37,'Backend (to be hidden)'!$EU$3:$EY$41,4,FALSE)*-1,"")</f>
        <v/>
      </c>
      <c r="I37" s="150"/>
      <c r="J37" s="6"/>
      <c r="K37" s="6"/>
      <c r="L37" s="6"/>
    </row>
    <row r="38" spans="1:12" outlineLevel="1">
      <c r="A38" s="28"/>
      <c r="B38" s="260"/>
      <c r="C38" s="568" t="str">
        <f>'Backend (to be hidden)'!EU7</f>
        <v>Hemp Fiber Batt / R 3.6 per inch</v>
      </c>
      <c r="D38" s="427"/>
      <c r="E38" s="261"/>
      <c r="F38" s="261" t="str">
        <f>VLOOKUP(C38,'Backend (to be hidden)'!$EU$3:$EY$39,5,FALSE)</f>
        <v>m³</v>
      </c>
      <c r="G38" s="267"/>
      <c r="H38" s="483" t="str">
        <f>IF(ISNUMBER(D38),D38*VLOOKUP(C38,'Backend (to be hidden)'!$EU$3:$EY$41,4,FALSE)*-1,"")</f>
        <v/>
      </c>
      <c r="I38" s="150"/>
      <c r="J38" s="6"/>
      <c r="K38" s="6"/>
      <c r="L38" s="6"/>
    </row>
    <row r="39" spans="1:12" outlineLevel="1">
      <c r="A39" s="28"/>
      <c r="B39" s="260"/>
      <c r="C39" s="568" t="str">
        <f>'Backend (to be hidden)'!EU8</f>
        <v>Hempcrete / R 2.4 per inch</v>
      </c>
      <c r="D39" s="427"/>
      <c r="E39" s="261"/>
      <c r="F39" s="261" t="str">
        <f>VLOOKUP(C39,'Backend (to be hidden)'!$EU$3:$EY$39,5,FALSE)</f>
        <v>m³</v>
      </c>
      <c r="G39" s="267"/>
      <c r="H39" s="483" t="str">
        <f>IF(ISNUMBER(D39),D39*VLOOKUP(C39,'Backend (to be hidden)'!$EU$3:$EY$41,4,FALSE)*-1,"")</f>
        <v/>
      </c>
      <c r="I39" s="150"/>
      <c r="J39" s="6"/>
      <c r="K39" s="6"/>
      <c r="L39" s="6"/>
    </row>
    <row r="40" spans="1:12" outlineLevel="1">
      <c r="A40" s="28"/>
      <c r="B40" s="260"/>
      <c r="C40" s="568" t="str">
        <f>'Backend (to be hidden)'!EU9</f>
        <v xml:space="preserve">Straw Bale / Wheat &amp; rye straw / R 2.8 per inch </v>
      </c>
      <c r="D40" s="427"/>
      <c r="E40" s="261"/>
      <c r="F40" s="261" t="str">
        <f>VLOOKUP(C40,'Backend (to be hidden)'!$EU$3:$EY$39,5,FALSE)</f>
        <v>m³</v>
      </c>
      <c r="G40" s="267"/>
      <c r="H40" s="483" t="str">
        <f>IF(ISNUMBER(D40),D40*VLOOKUP(C40,'Backend (to be hidden)'!$EU$3:$EY$41,4,FALSE)*-1,"")</f>
        <v/>
      </c>
      <c r="I40" s="150"/>
      <c r="J40" s="6"/>
      <c r="K40" s="6"/>
      <c r="L40" s="6"/>
    </row>
    <row r="41" spans="1:12" outlineLevel="1">
      <c r="A41" s="28"/>
      <c r="B41" s="260"/>
      <c r="C41" s="568" t="str">
        <f>'Backend (to be hidden)'!EU10</f>
        <v>Straw Bale / Wheat &amp; barley straw /  R 2.8 per inch</v>
      </c>
      <c r="D41" s="427"/>
      <c r="E41" s="261"/>
      <c r="F41" s="261" t="str">
        <f>VLOOKUP(C41,'Backend (to be hidden)'!$EU$3:$EY$39,5,FALSE)</f>
        <v>m³</v>
      </c>
      <c r="G41" s="267"/>
      <c r="H41" s="483" t="str">
        <f>IF(ISNUMBER(D41),D41*VLOOKUP(C41,'Backend (to be hidden)'!$EU$3:$EY$41,4,FALSE)*-1,"")</f>
        <v/>
      </c>
      <c r="I41" s="150"/>
      <c r="J41" s="6"/>
      <c r="K41" s="6"/>
      <c r="L41" s="6"/>
    </row>
    <row r="42" spans="1:12" outlineLevel="1">
      <c r="A42" s="28"/>
      <c r="B42" s="260"/>
      <c r="C42" s="568" t="str">
        <f>'Backend (to be hidden)'!EU11</f>
        <v>Straw Board Insulation / R 2.0 per inch</v>
      </c>
      <c r="D42" s="427"/>
      <c r="E42" s="261"/>
      <c r="F42" s="261" t="str">
        <f>VLOOKUP(C42,'Backend (to be hidden)'!$EU$3:$EY$39,5,FALSE)</f>
        <v>m³</v>
      </c>
      <c r="G42" s="267"/>
      <c r="H42" s="483" t="str">
        <f>IF(ISNUMBER(D42),D42*VLOOKUP(C42,'Backend (to be hidden)'!$EU$3:$EY$41,4,FALSE)*-1,"")</f>
        <v/>
      </c>
      <c r="I42" s="150"/>
      <c r="J42" s="6"/>
      <c r="K42" s="6"/>
      <c r="L42" s="6"/>
    </row>
    <row r="43" spans="1:12" outlineLevel="1">
      <c r="A43" s="28"/>
      <c r="B43" s="260"/>
      <c r="C43" s="568" t="str">
        <f>'Backend (to be hidden)'!EU12</f>
        <v>Wood fiber batt / R 3.9 per inch</v>
      </c>
      <c r="D43" s="427"/>
      <c r="E43" s="261"/>
      <c r="F43" s="261" t="str">
        <f>VLOOKUP(C43,'Backend (to be hidden)'!$EU$3:$EY$39,5,FALSE)</f>
        <v>m³</v>
      </c>
      <c r="G43" s="267"/>
      <c r="H43" s="483" t="str">
        <f>IF(ISNUMBER(D43),D43*VLOOKUP(C43,'Backend (to be hidden)'!$EU$3:$EY$41,4,FALSE)*-1,"")</f>
        <v/>
      </c>
      <c r="I43" s="150"/>
      <c r="J43" s="6"/>
      <c r="K43" s="6"/>
      <c r="L43" s="6"/>
    </row>
    <row r="44" spans="1:12" outlineLevel="1">
      <c r="A44" s="28"/>
      <c r="B44" s="260"/>
      <c r="C44" s="568" t="str">
        <f>'Backend (to be hidden)'!EU13</f>
        <v xml:space="preserve">Wood fiber board / R 2.7 per inch </v>
      </c>
      <c r="D44" s="427"/>
      <c r="E44" s="261"/>
      <c r="F44" s="261" t="str">
        <f>VLOOKUP(C44,'Backend (to be hidden)'!$EU$3:$EY$39,5,FALSE)</f>
        <v>m³</v>
      </c>
      <c r="G44" s="267"/>
      <c r="H44" s="483" t="str">
        <f>IF(ISNUMBER(D44),D44*VLOOKUP(C44,'Backend (to be hidden)'!$EU$3:$EY$41,4,FALSE)*-1,"")</f>
        <v/>
      </c>
      <c r="I44" s="150"/>
      <c r="J44" s="6"/>
      <c r="K44" s="6"/>
      <c r="L44" s="6"/>
    </row>
    <row r="45" spans="1:12" outlineLevel="1">
      <c r="A45" s="28"/>
      <c r="B45" s="260"/>
      <c r="C45" s="568" t="str">
        <f>'Backend (to be hidden)'!EU14</f>
        <v xml:space="preserve">Wool batt / R 3.8 per inch </v>
      </c>
      <c r="D45" s="427"/>
      <c r="E45" s="261"/>
      <c r="F45" s="261" t="str">
        <f>VLOOKUP(C45,'Backend (to be hidden)'!$EU$3:$EY$39,5,FALSE)</f>
        <v>m³</v>
      </c>
      <c r="G45" s="267"/>
      <c r="H45" s="483" t="str">
        <f>IF(ISNUMBER(D45),D45*VLOOKUP(C45,'Backend (to be hidden)'!$EU$3:$EY$41,4,FALSE)*-1,"")</f>
        <v/>
      </c>
      <c r="I45" s="150"/>
      <c r="J45" s="6"/>
      <c r="K45" s="6"/>
      <c r="L45" s="6"/>
    </row>
    <row r="46" spans="1:12" outlineLevel="1">
      <c r="A46" s="28"/>
      <c r="B46" s="260"/>
      <c r="C46" s="286" t="str">
        <f>'Backend (to be hidden)'!EU15</f>
        <v>Interiors New Materials</v>
      </c>
      <c r="D46" s="262"/>
      <c r="E46" s="262"/>
      <c r="F46" s="261"/>
      <c r="G46" s="262"/>
      <c r="H46" s="303"/>
      <c r="I46" s="150"/>
      <c r="J46" s="6"/>
      <c r="K46" s="6"/>
      <c r="L46" s="6"/>
    </row>
    <row r="47" spans="1:12" outlineLevel="1">
      <c r="A47" s="28"/>
      <c r="B47" s="260"/>
      <c r="C47" s="568" t="str">
        <f>'Backend (to be hidden)'!EU16</f>
        <v xml:space="preserve">Bamboo flooring </v>
      </c>
      <c r="D47" s="427"/>
      <c r="E47" s="261"/>
      <c r="F47" s="261" t="str">
        <f>VLOOKUP(C47,'Backend (to be hidden)'!$EU$3:$EY$39,5,FALSE)</f>
        <v>m³</v>
      </c>
      <c r="G47" s="267"/>
      <c r="H47" s="483" t="str">
        <f>IF(ISNUMBER(D47),D47*VLOOKUP(C47,'Backend (to be hidden)'!$EU$3:$EY$41,4,FALSE)*-1,"")</f>
        <v/>
      </c>
      <c r="I47" s="150"/>
      <c r="J47" s="6"/>
      <c r="K47" s="6"/>
      <c r="L47" s="6"/>
    </row>
    <row r="48" spans="1:12" outlineLevel="1">
      <c r="A48" s="28"/>
      <c r="B48" s="260"/>
      <c r="C48" s="568" t="str">
        <f>'Backend (to be hidden)'!EU17</f>
        <v xml:space="preserve">Cork flooring </v>
      </c>
      <c r="D48" s="427"/>
      <c r="E48" s="261"/>
      <c r="F48" s="261" t="str">
        <f>VLOOKUP(C48,'Backend (to be hidden)'!$EU$3:$EY$39,5,FALSE)</f>
        <v>m³</v>
      </c>
      <c r="G48" s="267"/>
      <c r="H48" s="483" t="str">
        <f>IF(ISNUMBER(D48),D48*VLOOKUP(C48,'Backend (to be hidden)'!$EU$3:$EY$41,4,FALSE)*-1,"")</f>
        <v/>
      </c>
      <c r="I48" s="150"/>
      <c r="J48" s="6"/>
      <c r="K48" s="6"/>
      <c r="L48" s="6"/>
    </row>
    <row r="49" spans="1:12" outlineLevel="1">
      <c r="A49" s="28"/>
      <c r="B49" s="260"/>
      <c r="C49" s="568" t="str">
        <f>'Backend (to be hidden)'!EU18</f>
        <v xml:space="preserve">Linoleum flooring </v>
      </c>
      <c r="D49" s="427"/>
      <c r="E49" s="261"/>
      <c r="F49" s="261" t="str">
        <f>VLOOKUP(C49,'Backend (to be hidden)'!$EU$3:$EY$39,5,FALSE)</f>
        <v>m³</v>
      </c>
      <c r="G49" s="267"/>
      <c r="H49" s="483" t="str">
        <f>IF(ISNUMBER(D49),D49*VLOOKUP(C49,'Backend (to be hidden)'!$EU$3:$EY$41,4,FALSE)*-1,"")</f>
        <v/>
      </c>
      <c r="I49" s="150"/>
      <c r="J49" s="6"/>
      <c r="K49" s="6"/>
      <c r="L49" s="6"/>
    </row>
    <row r="50" spans="1:12" outlineLevel="1">
      <c r="A50" s="28"/>
      <c r="B50" s="260"/>
      <c r="C50" s="568" t="str">
        <f>'Backend (to be hidden)'!EU19</f>
        <v xml:space="preserve">Linoleum flooring </v>
      </c>
      <c r="D50" s="427"/>
      <c r="E50" s="261"/>
      <c r="F50" s="261" t="str">
        <f>VLOOKUP(C50,'Backend (to be hidden)'!$EU$3:$EY$39,5,FALSE)</f>
        <v>m³</v>
      </c>
      <c r="G50" s="267"/>
      <c r="H50" s="483" t="str">
        <f>IF(ISNUMBER(D50),D50*VLOOKUP(C50,'Backend (to be hidden)'!$EU$3:$EY$41,4,FALSE)*-1,"")</f>
        <v/>
      </c>
      <c r="I50" s="150"/>
      <c r="J50" s="6"/>
      <c r="K50" s="6"/>
      <c r="L50" s="6"/>
    </row>
    <row r="51" spans="1:12" outlineLevel="1">
      <c r="A51" s="28"/>
      <c r="B51" s="260"/>
      <c r="C51" s="286" t="str">
        <f>'Backend (to be hidden)'!EU20</f>
        <v>Salvaged Materials</v>
      </c>
      <c r="D51" s="262"/>
      <c r="E51" s="262"/>
      <c r="F51" s="261"/>
      <c r="G51" s="262"/>
      <c r="H51" s="303"/>
      <c r="I51" s="150"/>
      <c r="J51" s="6"/>
      <c r="K51" s="6"/>
      <c r="L51" s="6"/>
    </row>
    <row r="52" spans="1:12" outlineLevel="1">
      <c r="A52" s="28"/>
      <c r="B52" s="260"/>
      <c r="C52" s="564" t="str">
        <f>'Backend (to be hidden)'!EU21</f>
        <v xml:space="preserve">Salvaged Cedar Shingles &amp; Shakes &amp; Siding </v>
      </c>
      <c r="D52" s="427"/>
      <c r="E52" s="261"/>
      <c r="F52" s="261" t="str">
        <f>VLOOKUP(C52,'Backend (to be hidden)'!$EU$3:$EY$39,5,FALSE)</f>
        <v>m³</v>
      </c>
      <c r="G52" s="267"/>
      <c r="H52" s="483" t="str">
        <f>IF(ISNUMBER(D52),D52*VLOOKUP(C52,'Backend (to be hidden)'!$EU$3:$EY$41,4,FALSE)*-1,"")</f>
        <v/>
      </c>
      <c r="I52" s="150"/>
      <c r="J52" s="6"/>
      <c r="K52" s="6"/>
      <c r="L52" s="6"/>
    </row>
    <row r="53" spans="1:12" outlineLevel="1">
      <c r="A53" s="28"/>
      <c r="B53" s="260"/>
      <c r="C53" s="564" t="str">
        <f>'Backend (to be hidden)'!EU22</f>
        <v xml:space="preserve">Salvaged Cross Laminated Timber (CLT) </v>
      </c>
      <c r="D53" s="427"/>
      <c r="E53" s="261"/>
      <c r="F53" s="261" t="str">
        <f>VLOOKUP(C53,'Backend (to be hidden)'!$EU$3:$EY$39,5,FALSE)</f>
        <v>m³</v>
      </c>
      <c r="G53" s="267"/>
      <c r="H53" s="483" t="str">
        <f>IF(ISNUMBER(D53),D53*VLOOKUP(C53,'Backend (to be hidden)'!$EU$3:$EY$41,4,FALSE)*-1,"")</f>
        <v/>
      </c>
      <c r="I53" s="150"/>
      <c r="J53" s="6"/>
      <c r="K53" s="6"/>
      <c r="L53" s="6"/>
    </row>
    <row r="54" spans="1:12" outlineLevel="1">
      <c r="A54" s="28"/>
      <c r="B54" s="260"/>
      <c r="C54" s="564" t="str">
        <f>'Backend (to be hidden)'!EU23</f>
        <v xml:space="preserve">Salvaged Engineered Wood Flooring </v>
      </c>
      <c r="D54" s="427"/>
      <c r="E54" s="261"/>
      <c r="F54" s="261" t="str">
        <f>VLOOKUP(C54,'Backend (to be hidden)'!$EU$3:$EY$39,5,FALSE)</f>
        <v>m³</v>
      </c>
      <c r="G54" s="267"/>
      <c r="H54" s="483" t="str">
        <f>IF(ISNUMBER(D54),D54*VLOOKUP(C54,'Backend (to be hidden)'!$EU$3:$EY$41,4,FALSE)*-1,"")</f>
        <v/>
      </c>
      <c r="I54" s="150"/>
      <c r="J54" s="6"/>
      <c r="K54" s="6"/>
      <c r="L54" s="6"/>
    </row>
    <row r="55" spans="1:12" outlineLevel="1">
      <c r="A55" s="28"/>
      <c r="B55" s="260"/>
      <c r="C55" s="564" t="str">
        <f>'Backend (to be hidden)'!EU24</f>
        <v xml:space="preserve">Salvaged Engineered Wood Siding </v>
      </c>
      <c r="D55" s="427"/>
      <c r="E55" s="261"/>
      <c r="F55" s="261" t="str">
        <f>VLOOKUP(C55,'Backend (to be hidden)'!$EU$3:$EY$39,5,FALSE)</f>
        <v>m³</v>
      </c>
      <c r="G55" s="267"/>
      <c r="H55" s="483" t="str">
        <f>IF(ISNUMBER(D55),D55*VLOOKUP(C55,'Backend (to be hidden)'!$EU$3:$EY$41,4,FALSE)*-1,"")</f>
        <v/>
      </c>
      <c r="I55" s="150"/>
      <c r="J55" s="6"/>
      <c r="K55" s="6"/>
      <c r="L55" s="6"/>
    </row>
    <row r="56" spans="1:12" outlineLevel="1">
      <c r="A56" s="28"/>
      <c r="B56" s="260"/>
      <c r="C56" s="564" t="str">
        <f>'Backend (to be hidden)'!EU25</f>
        <v xml:space="preserve">Salvaged Glued Laminated Timber (Glulam) </v>
      </c>
      <c r="D56" s="427"/>
      <c r="E56" s="261"/>
      <c r="F56" s="261" t="str">
        <f>VLOOKUP(C56,'Backend (to be hidden)'!$EU$3:$EY$39,5,FALSE)</f>
        <v>m³</v>
      </c>
      <c r="G56" s="267"/>
      <c r="H56" s="483" t="str">
        <f>IF(ISNUMBER(D56),D56*VLOOKUP(C56,'Backend (to be hidden)'!$EU$3:$EY$41,4,FALSE)*-1,"")</f>
        <v/>
      </c>
      <c r="I56" s="150"/>
      <c r="J56" s="6"/>
      <c r="K56" s="6"/>
      <c r="L56" s="6"/>
    </row>
    <row r="57" spans="1:12" outlineLevel="1">
      <c r="A57" s="28"/>
      <c r="B57" s="260"/>
      <c r="C57" s="564" t="str">
        <f>'Backend (to be hidden)'!EU26</f>
        <v xml:space="preserve">Salvaged Hardwood flooring / Solid Wood Flooring </v>
      </c>
      <c r="D57" s="427"/>
      <c r="E57" s="261"/>
      <c r="F57" s="261" t="str">
        <f>VLOOKUP(C57,'Backend (to be hidden)'!$EU$3:$EY$39,5,FALSE)</f>
        <v>m³</v>
      </c>
      <c r="G57" s="267"/>
      <c r="H57" s="483" t="str">
        <f>IF(ISNUMBER(D57),D57*VLOOKUP(C57,'Backend (to be hidden)'!$EU$3:$EY$41,4,FALSE)*-1,"")</f>
        <v/>
      </c>
      <c r="I57" s="150"/>
      <c r="J57" s="6"/>
      <c r="K57" s="6"/>
      <c r="L57" s="6"/>
    </row>
    <row r="58" spans="1:12" outlineLevel="1">
      <c r="A58" s="28"/>
      <c r="B58" s="260"/>
      <c r="C58" s="564" t="str">
        <f>'Backend (to be hidden)'!EU27</f>
        <v xml:space="preserve">Salvaged Heat Treated Wood Cladding </v>
      </c>
      <c r="D58" s="427"/>
      <c r="E58" s="261"/>
      <c r="F58" s="261" t="str">
        <f>VLOOKUP(C58,'Backend (to be hidden)'!$EU$3:$EY$39,5,FALSE)</f>
        <v>m³</v>
      </c>
      <c r="G58" s="267"/>
      <c r="H58" s="483" t="str">
        <f>IF(ISNUMBER(D58),D58*VLOOKUP(C58,'Backend (to be hidden)'!$EU$3:$EY$41,4,FALSE)*-1,"")</f>
        <v/>
      </c>
      <c r="I58" s="150"/>
      <c r="J58" s="6"/>
      <c r="K58" s="6"/>
      <c r="L58" s="6"/>
    </row>
    <row r="59" spans="1:12" outlineLevel="1">
      <c r="A59" s="28"/>
      <c r="B59" s="260"/>
      <c r="C59" s="564" t="str">
        <f>'Backend (to be hidden)'!EU28</f>
        <v xml:space="preserve">Salvaged Laminated strand lumber (LSL) </v>
      </c>
      <c r="D59" s="427"/>
      <c r="E59" s="261"/>
      <c r="F59" s="261" t="str">
        <f>VLOOKUP(C59,'Backend (to be hidden)'!$EU$3:$EY$39,5,FALSE)</f>
        <v>m³</v>
      </c>
      <c r="G59" s="267"/>
      <c r="H59" s="483" t="str">
        <f>IF(ISNUMBER(D59),D59*VLOOKUP(C59,'Backend (to be hidden)'!$EU$3:$EY$41,4,FALSE)*-1,"")</f>
        <v/>
      </c>
      <c r="I59" s="150"/>
      <c r="J59" s="6"/>
      <c r="K59" s="6"/>
      <c r="L59" s="6"/>
    </row>
    <row r="60" spans="1:12" outlineLevel="1">
      <c r="A60" s="28"/>
      <c r="B60" s="260"/>
      <c r="C60" s="564" t="str">
        <f>'Backend (to be hidden)'!EU29</f>
        <v xml:space="preserve">Salvaged Laminated veneer lumber (LVL) </v>
      </c>
      <c r="D60" s="427"/>
      <c r="E60" s="261"/>
      <c r="F60" s="261" t="str">
        <f>VLOOKUP(C60,'Backend (to be hidden)'!$EU$3:$EY$39,5,FALSE)</f>
        <v>m³</v>
      </c>
      <c r="G60" s="267"/>
      <c r="H60" s="483" t="str">
        <f>IF(ISNUMBER(D60),D60*VLOOKUP(C60,'Backend (to be hidden)'!$EU$3:$EY$41,4,FALSE)*-1,"")</f>
        <v/>
      </c>
      <c r="I60" s="150"/>
      <c r="J60" s="6"/>
      <c r="K60" s="6"/>
      <c r="L60" s="6"/>
    </row>
    <row r="61" spans="1:12" outlineLevel="1">
      <c r="A61" s="28"/>
      <c r="B61" s="260"/>
      <c r="C61" s="564" t="str">
        <f>'Backend (to be hidden)'!EU30</f>
        <v xml:space="preserve">Salvaged OSB sheathing </v>
      </c>
      <c r="D61" s="427"/>
      <c r="E61" s="261"/>
      <c r="F61" s="261" t="str">
        <f>VLOOKUP(C61,'Backend (to be hidden)'!$EU$3:$EY$39,5,FALSE)</f>
        <v>m³</v>
      </c>
      <c r="G61" s="267"/>
      <c r="H61" s="483" t="str">
        <f>IF(ISNUMBER(D61),D61*VLOOKUP(C61,'Backend (to be hidden)'!$EU$3:$EY$41,4,FALSE)*-1,"")</f>
        <v/>
      </c>
      <c r="I61" s="150"/>
      <c r="J61" s="6"/>
      <c r="K61" s="6"/>
      <c r="L61" s="6"/>
    </row>
    <row r="62" spans="1:12" outlineLevel="1">
      <c r="A62" s="28"/>
      <c r="B62" s="260"/>
      <c r="C62" s="564" t="str">
        <f>'Backend (to be hidden)'!EU31</f>
        <v xml:space="preserve">Salvaged Plywood </v>
      </c>
      <c r="D62" s="427"/>
      <c r="E62" s="261"/>
      <c r="F62" s="261" t="str">
        <f>VLOOKUP(C62,'Backend (to be hidden)'!$EU$3:$EY$39,5,FALSE)</f>
        <v>m³</v>
      </c>
      <c r="G62" s="267"/>
      <c r="H62" s="483" t="str">
        <f>IF(ISNUMBER(D62),D62*VLOOKUP(C62,'Backend (to be hidden)'!$EU$3:$EY$41,4,FALSE)*-1,"")</f>
        <v/>
      </c>
      <c r="I62" s="150"/>
      <c r="J62" s="6"/>
      <c r="K62" s="6"/>
      <c r="L62" s="6"/>
    </row>
    <row r="63" spans="1:12" outlineLevel="1">
      <c r="A63" s="28"/>
      <c r="B63" s="260"/>
      <c r="C63" s="564" t="str">
        <f>'Backend (to be hidden)'!EU32</f>
        <v xml:space="preserve">Salvaged Wood / Redwood </v>
      </c>
      <c r="D63" s="427"/>
      <c r="E63" s="261"/>
      <c r="F63" s="261" t="str">
        <f>VLOOKUP(C63,'Backend (to be hidden)'!$EU$3:$EY$39,5,FALSE)</f>
        <v>m³</v>
      </c>
      <c r="G63" s="267"/>
      <c r="H63" s="483" t="str">
        <f>IF(ISNUMBER(D63),D63*VLOOKUP(C63,'Backend (to be hidden)'!$EU$3:$EY$41,4,FALSE)*-1,"")</f>
        <v/>
      </c>
      <c r="I63" s="150"/>
      <c r="J63" s="6"/>
      <c r="K63" s="6"/>
      <c r="L63" s="6"/>
    </row>
    <row r="64" spans="1:12" outlineLevel="1">
      <c r="A64" s="28"/>
      <c r="B64" s="260"/>
      <c r="C64" s="564" t="str">
        <f>'Backend (to be hidden)'!EU33</f>
        <v xml:space="preserve">Salvaged Wood / SPF Lumber </v>
      </c>
      <c r="D64" s="427"/>
      <c r="E64" s="261"/>
      <c r="F64" s="261" t="str">
        <f>VLOOKUP(C64,'Backend (to be hidden)'!$EU$3:$EY$39,5,FALSE)</f>
        <v>m³</v>
      </c>
      <c r="G64" s="267"/>
      <c r="H64" s="483" t="str">
        <f>IF(ISNUMBER(D64),D64*VLOOKUP(C64,'Backend (to be hidden)'!$EU$3:$EY$41,4,FALSE)*-1,"")</f>
        <v/>
      </c>
      <c r="I64" s="150"/>
      <c r="J64" s="6"/>
      <c r="K64" s="6"/>
      <c r="L64" s="6"/>
    </row>
    <row r="65" spans="1:12" outlineLevel="1">
      <c r="A65" s="28"/>
      <c r="B65" s="260"/>
      <c r="C65" s="564" t="str">
        <f>'Backend (to be hidden)'!EU34</f>
        <v>Salvaged Wood I joist / TJI 230/360 / 16" Depth</v>
      </c>
      <c r="D65" s="427"/>
      <c r="E65" s="261"/>
      <c r="F65" s="261" t="str">
        <f>VLOOKUP(C65,'Backend (to be hidden)'!$EU$3:$EY$39,5,FALSE)</f>
        <v xml:space="preserve">m </v>
      </c>
      <c r="G65" s="267"/>
      <c r="H65" s="483" t="str">
        <f>IF(ISNUMBER(D65),D65*VLOOKUP(C65,'Backend (to be hidden)'!$EU$3:$EY$41,4,FALSE)*-1,"")</f>
        <v/>
      </c>
      <c r="I65" s="150"/>
      <c r="J65" s="17"/>
      <c r="K65" s="17"/>
      <c r="L65" s="6"/>
    </row>
    <row r="66" spans="1:12" outlineLevel="1">
      <c r="A66" s="28"/>
      <c r="B66" s="260"/>
      <c r="C66" s="564" t="str">
        <f>'Backend (to be hidden)'!EU35</f>
        <v xml:space="preserve">Salvaged Wood I joist / TJI 230/360 / 14" Depth </v>
      </c>
      <c r="D66" s="427"/>
      <c r="E66" s="261"/>
      <c r="F66" s="261" t="str">
        <f>VLOOKUP(C66,'Backend (to be hidden)'!$EU$3:$EY$39,5,FALSE)</f>
        <v xml:space="preserve">m </v>
      </c>
      <c r="G66" s="267"/>
      <c r="H66" s="483" t="str">
        <f>IF(ISNUMBER(D66),D66*VLOOKUP(C66,'Backend (to be hidden)'!$EU$3:$EY$41,4,FALSE)*-1,"")</f>
        <v/>
      </c>
      <c r="I66" s="150"/>
      <c r="J66" s="17"/>
      <c r="K66" s="17"/>
      <c r="L66" s="6"/>
    </row>
    <row r="67" spans="1:12" outlineLevel="1">
      <c r="A67" s="28"/>
      <c r="B67" s="260"/>
      <c r="C67" s="564" t="str">
        <f>'Backend (to be hidden)'!EU36</f>
        <v xml:space="preserve">Salvaged Wood I joist / TJI 230/360 / 11-7/8" Depth </v>
      </c>
      <c r="D67" s="427"/>
      <c r="E67" s="261"/>
      <c r="F67" s="261" t="str">
        <f>VLOOKUP(C67,'Backend (to be hidden)'!$EU$3:$EY$39,5,FALSE)</f>
        <v xml:space="preserve">m </v>
      </c>
      <c r="G67" s="267"/>
      <c r="H67" s="483" t="str">
        <f>IF(ISNUMBER(D67),D67*VLOOKUP(C67,'Backend (to be hidden)'!$EU$3:$EY$41,4,FALSE)*-1,"")</f>
        <v/>
      </c>
      <c r="I67" s="150"/>
      <c r="J67" s="17"/>
      <c r="K67" s="17"/>
      <c r="L67" s="6"/>
    </row>
    <row r="68" spans="1:12" outlineLevel="1">
      <c r="A68" s="28"/>
      <c r="B68" s="260"/>
      <c r="C68" s="564" t="str">
        <f>'Backend (to be hidden)'!EU37</f>
        <v xml:space="preserve">Salvaged Wood I joist / TJI 230/360 / 9-1/2" Depth </v>
      </c>
      <c r="D68" s="427"/>
      <c r="E68" s="261"/>
      <c r="F68" s="261" t="str">
        <f>VLOOKUP(C68,'Backend (to be hidden)'!$EU$3:$EY$39,5,FALSE)</f>
        <v xml:space="preserve">m </v>
      </c>
      <c r="G68" s="267"/>
      <c r="H68" s="483" t="str">
        <f>IF(ISNUMBER(D68),D68*VLOOKUP(C68,'Backend (to be hidden)'!$EU$3:$EY$41,4,FALSE)*-1,"")</f>
        <v/>
      </c>
      <c r="I68" s="150"/>
      <c r="J68" s="17"/>
      <c r="K68" s="17"/>
      <c r="L68" s="6"/>
    </row>
    <row r="69" spans="1:12" ht="25.5" outlineLevel="1">
      <c r="A69" s="28"/>
      <c r="B69" s="260"/>
      <c r="C69" s="564" t="str">
        <f>'Backend (to be hidden)'!EU38</f>
        <v xml:space="preserve">Salvaged Wood floor truss / Common (Warren, 45 deg) web pattern / Top chord bearing, variable depth </v>
      </c>
      <c r="D69" s="427"/>
      <c r="E69" s="261"/>
      <c r="F69" s="261" t="str">
        <f>VLOOKUP(C69,'Backend (to be hidden)'!$EU$3:$EY$39,5,FALSE)</f>
        <v xml:space="preserve">m </v>
      </c>
      <c r="G69" s="267"/>
      <c r="H69" s="483" t="str">
        <f>IF(ISNUMBER(D69),D69*VLOOKUP(C69,'Backend (to be hidden)'!$EU$3:$EY$41,4,FALSE)*-1,"")</f>
        <v/>
      </c>
      <c r="I69" s="150"/>
      <c r="J69" s="17"/>
      <c r="K69" s="17"/>
      <c r="L69" s="6"/>
    </row>
    <row r="70" spans="1:12" ht="25.5" outlineLevel="1">
      <c r="A70" s="28"/>
      <c r="B70" s="260"/>
      <c r="C70" s="564" t="str">
        <f>'Backend (to be hidden)'!EU39</f>
        <v xml:space="preserve">Salvaged Wood roof truss / Gable Roof, Double Howe, 2x6 Chords, 2x4 Webs, 4:12 Pitch </v>
      </c>
      <c r="D70" s="427"/>
      <c r="E70" s="261"/>
      <c r="F70" s="261" t="str">
        <f>VLOOKUP(C70,'Backend (to be hidden)'!$EU$3:$EY$39,5,FALSE)</f>
        <v xml:space="preserve">m </v>
      </c>
      <c r="G70" s="267"/>
      <c r="H70" s="483" t="str">
        <f>IF(ISNUMBER(D70),D70*VLOOKUP(C70,'Backend (to be hidden)'!$EU$3:$EY$41,4,FALSE)*-1,"")</f>
        <v/>
      </c>
      <c r="I70" s="150"/>
      <c r="J70" s="347"/>
      <c r="K70" s="347"/>
      <c r="L70" s="6"/>
    </row>
    <row r="71" spans="1:12">
      <c r="A71" s="28"/>
      <c r="B71" s="260"/>
      <c r="C71" s="63"/>
      <c r="D71" s="261"/>
      <c r="E71" s="261"/>
      <c r="F71" s="261"/>
      <c r="G71" s="267"/>
      <c r="H71" s="268"/>
      <c r="I71" s="150"/>
      <c r="J71" s="347"/>
      <c r="K71" s="347"/>
      <c r="L71" s="6"/>
    </row>
    <row r="72" spans="1:12" ht="18" customHeight="1">
      <c r="A72" s="28"/>
      <c r="B72" s="148"/>
      <c r="C72" s="854" t="s">
        <v>1278</v>
      </c>
      <c r="D72" s="854"/>
      <c r="E72" s="854"/>
      <c r="F72" s="854"/>
      <c r="G72" s="854"/>
      <c r="H72" s="854"/>
      <c r="I72" s="150"/>
      <c r="J72" s="6"/>
      <c r="K72" s="6"/>
      <c r="L72" s="6"/>
    </row>
    <row r="73" spans="1:12" collapsed="1">
      <c r="A73" s="28"/>
      <c r="B73" s="148"/>
      <c r="C73" s="425" t="s">
        <v>1271</v>
      </c>
      <c r="D73" s="257"/>
      <c r="E73" s="257"/>
      <c r="F73" s="257"/>
      <c r="G73" s="257"/>
      <c r="H73" s="257"/>
      <c r="I73" s="150"/>
      <c r="J73" s="6"/>
      <c r="K73" s="6"/>
      <c r="L73" s="6"/>
    </row>
    <row r="74" spans="1:12" ht="27" hidden="1" outlineLevel="1">
      <c r="A74" s="28"/>
      <c r="B74" s="260"/>
      <c r="C74" s="571" t="s">
        <v>1017</v>
      </c>
      <c r="D74" s="178" t="s">
        <v>560</v>
      </c>
      <c r="E74" s="178"/>
      <c r="F74" s="178" t="s">
        <v>561</v>
      </c>
      <c r="G74" s="178"/>
      <c r="H74" s="178" t="s">
        <v>1209</v>
      </c>
      <c r="I74" s="150"/>
      <c r="J74" s="6"/>
      <c r="K74" s="6"/>
      <c r="L74" s="6"/>
    </row>
    <row r="75" spans="1:12" hidden="1" outlineLevel="1">
      <c r="A75" s="28"/>
      <c r="B75" s="141"/>
      <c r="C75" s="286" t="str">
        <f>'Backend (to be hidden)'!FI2</f>
        <v xml:space="preserve">Core and Shell New Materials </v>
      </c>
      <c r="D75" s="268"/>
      <c r="E75" s="257"/>
      <c r="F75" s="257"/>
      <c r="G75" s="268"/>
      <c r="H75" s="268"/>
      <c r="I75" s="150"/>
      <c r="J75" s="6"/>
      <c r="K75" s="6"/>
      <c r="L75" s="6"/>
    </row>
    <row r="76" spans="1:12" hidden="1" outlineLevel="1">
      <c r="A76" s="28"/>
      <c r="B76" s="260"/>
      <c r="C76" s="564" t="str">
        <f>'Backend (to be hidden)'!FI3</f>
        <v>Bamboo beams / MOSO / Bamboo Solid Beams / High Density</v>
      </c>
      <c r="D76" s="345"/>
      <c r="E76" s="261"/>
      <c r="F76" s="261" t="str">
        <f>VLOOKUP(C76,'Backend (to be hidden)'!$FI$1:$FM$241,5,FALSE)</f>
        <v>m³</v>
      </c>
      <c r="G76" s="267"/>
      <c r="H76" s="346" t="str">
        <f>IF(ISNUMBER(D76),D76*VLOOKUP(C76,'Backend (to be hidden)'!$FI$1:$FL$253,4,FALSE)*-1,"")</f>
        <v/>
      </c>
      <c r="I76" s="150"/>
      <c r="J76" s="6"/>
      <c r="K76" s="6"/>
      <c r="L76" s="6"/>
    </row>
    <row r="77" spans="1:12" ht="25.5" hidden="1" outlineLevel="1">
      <c r="A77" s="28"/>
      <c r="B77" s="260"/>
      <c r="C77" s="564" t="str">
        <f>'Backend (to be hidden)'!FI4</f>
        <v xml:space="preserve">Bamboo Cladding / Dasso / dassoCTECH outdoor oiled Cladding / Shiplap, 5/8" (18 mm) </v>
      </c>
      <c r="D77" s="345"/>
      <c r="E77" s="261"/>
      <c r="F77" s="261" t="str">
        <f>VLOOKUP(C77,'Backend (to be hidden)'!$FI$1:$FM$241,5,FALSE)</f>
        <v>m³</v>
      </c>
      <c r="G77" s="267"/>
      <c r="H77" s="346" t="str">
        <f>IF(ISNUMBER(D77),D77*VLOOKUP(C77,'Backend (to be hidden)'!$FI$1:$FL$253,4,FALSE)*-1,"")</f>
        <v/>
      </c>
      <c r="I77" s="150"/>
      <c r="J77" s="6"/>
      <c r="K77" s="6"/>
      <c r="L77" s="6"/>
    </row>
    <row r="78" spans="1:12" ht="25.5" hidden="1" outlineLevel="1">
      <c r="A78" s="28"/>
      <c r="B78" s="260"/>
      <c r="C78" s="564" t="str">
        <f>'Backend (to be hidden)'!FI5</f>
        <v xml:space="preserve">Bamboo Cladding / Dasso / dassoXTR Bamboo RainClad® Siding / Shiplap, 3/4'' (19 mm) </v>
      </c>
      <c r="D78" s="345"/>
      <c r="E78" s="261"/>
      <c r="F78" s="261" t="str">
        <f>VLOOKUP(C78,'Backend (to be hidden)'!$FI$1:$FM$241,5,FALSE)</f>
        <v>m³</v>
      </c>
      <c r="G78" s="267"/>
      <c r="H78" s="346" t="str">
        <f>IF(ISNUMBER(D78),D78*VLOOKUP(C78,'Backend (to be hidden)'!$FI$1:$FL$253,4,FALSE)*-1,"")</f>
        <v/>
      </c>
      <c r="I78" s="150"/>
      <c r="J78" s="6"/>
      <c r="K78" s="6"/>
      <c r="L78" s="6"/>
    </row>
    <row r="79" spans="1:12" hidden="1" outlineLevel="1">
      <c r="A79" s="28"/>
      <c r="B79" s="260"/>
      <c r="C79" s="564" t="str">
        <f>'Backend (to be hidden)'!FI6</f>
        <v xml:space="preserve">Bamboo Cladding / Lamboo / Rainscreen™ Facing System / 11/16" (17 mm) </v>
      </c>
      <c r="D79" s="345"/>
      <c r="E79" s="261"/>
      <c r="F79" s="261" t="str">
        <f>VLOOKUP(C79,'Backend (to be hidden)'!$FI$1:$FM$241,5,FALSE)</f>
        <v>m³</v>
      </c>
      <c r="G79" s="267"/>
      <c r="H79" s="346" t="str">
        <f>IF(ISNUMBER(D79),D79*VLOOKUP(C79,'Backend (to be hidden)'!$FI$1:$FL$253,4,FALSE)*-1,"")</f>
        <v/>
      </c>
      <c r="I79" s="150"/>
      <c r="J79" s="6"/>
      <c r="K79" s="6"/>
      <c r="L79" s="6"/>
    </row>
    <row r="80" spans="1:12" hidden="1" outlineLevel="1">
      <c r="A80" s="28"/>
      <c r="B80" s="260"/>
      <c r="C80" s="564" t="str">
        <f>'Backend (to be hidden)'!FI7</f>
        <v>Bamboo Cladding / MOSO / X-treme, all profiles / Heat treated / 5/8" (18 mm)</v>
      </c>
      <c r="D80" s="345"/>
      <c r="E80" s="261"/>
      <c r="F80" s="261" t="str">
        <f>VLOOKUP(C80,'Backend (to be hidden)'!$FI$1:$FM$241,5,FALSE)</f>
        <v>m³</v>
      </c>
      <c r="G80" s="267"/>
      <c r="H80" s="346" t="str">
        <f>IF(ISNUMBER(D80),D80*VLOOKUP(C80,'Backend (to be hidden)'!$FI$1:$FL$253,4,FALSE)*-1,"")</f>
        <v/>
      </c>
      <c r="I80" s="150"/>
      <c r="J80" s="6"/>
      <c r="K80" s="6"/>
      <c r="L80" s="6"/>
    </row>
    <row r="81" spans="1:12" hidden="1" outlineLevel="1">
      <c r="A81" s="28"/>
      <c r="B81" s="260"/>
      <c r="C81" s="564" t="str">
        <f>'Backend (to be hidden)'!FI8</f>
        <v>Bamboo Glulam / Lamboo / Structural Grade Product Systems</v>
      </c>
      <c r="D81" s="345"/>
      <c r="E81" s="261"/>
      <c r="F81" s="261" t="str">
        <f>VLOOKUP(C81,'Backend (to be hidden)'!$FI$1:$FM$241,5,FALSE)</f>
        <v>m³</v>
      </c>
      <c r="G81" s="267"/>
      <c r="H81" s="346" t="str">
        <f>IF(ISNUMBER(D81),D81*VLOOKUP(C81,'Backend (to be hidden)'!$FI$1:$FL$253,4,FALSE)*-1,"")</f>
        <v/>
      </c>
      <c r="I81" s="150"/>
      <c r="J81" s="6"/>
      <c r="K81" s="6"/>
      <c r="L81" s="6"/>
    </row>
    <row r="82" spans="1:12" hidden="1" outlineLevel="1">
      <c r="A82" s="28"/>
      <c r="B82" s="260"/>
      <c r="C82" s="564" t="str">
        <f>'Backend (to be hidden)'!FI9</f>
        <v xml:space="preserve">Bamboo plywood / Smith &amp; Fong / Plyboo / 1/2" (uncarved) </v>
      </c>
      <c r="D82" s="345"/>
      <c r="E82" s="261"/>
      <c r="F82" s="261" t="str">
        <f>VLOOKUP(C82,'Backend (to be hidden)'!$FI$1:$FM$241,5,FALSE)</f>
        <v>m³</v>
      </c>
      <c r="G82" s="267"/>
      <c r="H82" s="346" t="str">
        <f>IF(ISNUMBER(D82),D82*VLOOKUP(C82,'Backend (to be hidden)'!$FI$1:$FL$253,4,FALSE)*-1,"")</f>
        <v/>
      </c>
      <c r="I82" s="150"/>
      <c r="J82" s="6"/>
      <c r="K82" s="6"/>
      <c r="L82" s="6"/>
    </row>
    <row r="83" spans="1:12" hidden="1" outlineLevel="1">
      <c r="A83" s="28"/>
      <c r="B83" s="260"/>
      <c r="C83" s="564" t="str">
        <f>'Backend (to be hidden)'!FI10</f>
        <v xml:space="preserve">Bamboo plywood / Smith &amp; Fong / Plyboo / 3/4" (uncarved) </v>
      </c>
      <c r="D83" s="345"/>
      <c r="E83" s="261"/>
      <c r="F83" s="261" t="str">
        <f>VLOOKUP(C83,'Backend (to be hidden)'!$FI$1:$FM$241,5,FALSE)</f>
        <v>m³</v>
      </c>
      <c r="G83" s="267"/>
      <c r="H83" s="346" t="str">
        <f>IF(ISNUMBER(D83),D83*VLOOKUP(C83,'Backend (to be hidden)'!$FI$1:$FL$253,4,FALSE)*-1,"")</f>
        <v/>
      </c>
      <c r="I83" s="150"/>
      <c r="J83" s="6"/>
      <c r="K83" s="6"/>
      <c r="L83" s="6"/>
    </row>
    <row r="84" spans="1:12" hidden="1" outlineLevel="1">
      <c r="A84" s="28"/>
      <c r="B84" s="260"/>
      <c r="C84" s="564" t="str">
        <f>'Backend (to be hidden)'!FI11</f>
        <v>Cellulose / batt / CMS / EcoCell / R 3.6-inch</v>
      </c>
      <c r="D84" s="345"/>
      <c r="E84" s="261"/>
      <c r="F84" s="261" t="str">
        <f>VLOOKUP(C84,'Backend (to be hidden)'!$FI$1:$FM$241,5,FALSE)</f>
        <v>m³</v>
      </c>
      <c r="G84" s="267"/>
      <c r="H84" s="346" t="str">
        <f>IF(ISNUMBER(D84),D84*VLOOKUP(C84,'Backend (to be hidden)'!$FI$1:$FL$253,4,FALSE)*-1,"")</f>
        <v/>
      </c>
      <c r="I84" s="150"/>
      <c r="J84" s="6"/>
      <c r="K84" s="6"/>
      <c r="L84" s="6"/>
    </row>
    <row r="85" spans="1:12" hidden="1" outlineLevel="1">
      <c r="A85" s="28"/>
      <c r="B85" s="260"/>
      <c r="C85" s="564" t="str">
        <f>'Backend (to be hidden)'!FI12</f>
        <v>Cellulose / batt / Ekovilla / Ekovilla Slab / R3.7-inch [EU]</v>
      </c>
      <c r="D85" s="345"/>
      <c r="E85" s="261"/>
      <c r="F85" s="261" t="str">
        <f>VLOOKUP(C85,'Backend (to be hidden)'!$FI$1:$FM$241,5,FALSE)</f>
        <v>m³</v>
      </c>
      <c r="G85" s="267"/>
      <c r="H85" s="346" t="str">
        <f>IF(ISNUMBER(D85),D85*VLOOKUP(C85,'Backend (to be hidden)'!$FI$1:$FL$253,4,FALSE)*-1,"")</f>
        <v/>
      </c>
      <c r="I85" s="150"/>
      <c r="J85" s="6"/>
      <c r="K85" s="6"/>
      <c r="L85" s="6"/>
    </row>
    <row r="86" spans="1:12" ht="25.5" hidden="1" outlineLevel="1">
      <c r="A86" s="28"/>
      <c r="B86" s="260"/>
      <c r="C86" s="564" t="str">
        <f>'Backend (to be hidden)'!FI13</f>
        <v xml:space="preserve">Cellulose / dense pack / Advanced Fiber Technology / AFT Carbon Smart / 56 kg/m3 / R3.8-inch </v>
      </c>
      <c r="D86" s="345"/>
      <c r="E86" s="261"/>
      <c r="F86" s="261" t="str">
        <f>VLOOKUP(C86,'Backend (to be hidden)'!$FI$1:$FM$241,5,FALSE)</f>
        <v>m³</v>
      </c>
      <c r="G86" s="267"/>
      <c r="H86" s="346" t="str">
        <f>IF(ISNUMBER(D86),D86*VLOOKUP(C86,'Backend (to be hidden)'!$FI$1:$FL$253,4,FALSE)*-1,"")</f>
        <v/>
      </c>
      <c r="I86" s="150"/>
      <c r="J86" s="6"/>
      <c r="K86" s="6"/>
      <c r="L86" s="6"/>
    </row>
    <row r="87" spans="1:12" ht="25.5" hidden="1" outlineLevel="1">
      <c r="A87" s="28"/>
      <c r="B87" s="260"/>
      <c r="C87" s="564" t="str">
        <f>'Backend (to be hidden)'!FI14</f>
        <v xml:space="preserve">Cellulose / dense pack / Greenfiber / Sanctuary / Avg of all facilties / 56.1 kg/m3 / R3.8-inch </v>
      </c>
      <c r="D87" s="345"/>
      <c r="E87" s="261"/>
      <c r="F87" s="261" t="str">
        <f>VLOOKUP(C87,'Backend (to be hidden)'!$FI$1:$FM$241,5,FALSE)</f>
        <v>m³</v>
      </c>
      <c r="G87" s="267"/>
      <c r="H87" s="346" t="str">
        <f>IF(ISNUMBER(D87),D87*VLOOKUP(C87,'Backend (to be hidden)'!$FI$1:$FL$253,4,FALSE)*-1,"")</f>
        <v/>
      </c>
      <c r="I87" s="150"/>
      <c r="J87" s="6"/>
      <c r="K87" s="6"/>
      <c r="L87" s="6"/>
    </row>
    <row r="88" spans="1:12" ht="25.5" hidden="1" outlineLevel="1">
      <c r="A88" s="28"/>
      <c r="B88" s="260"/>
      <c r="C88" s="564" t="str">
        <f>'Backend (to be hidden)'!FI15</f>
        <v>Cellulose / loose fill / Advanced Fiber Technology / AFT Carbon Smart / 25.2 kg/m3 / R3.8-inch</v>
      </c>
      <c r="D88" s="345"/>
      <c r="E88" s="261"/>
      <c r="F88" s="261" t="str">
        <f>VLOOKUP(C88,'Backend (to be hidden)'!$FI$1:$FM$241,5,FALSE)</f>
        <v>m³</v>
      </c>
      <c r="G88" s="267"/>
      <c r="H88" s="346" t="str">
        <f>IF(ISNUMBER(D88),D88*VLOOKUP(C88,'Backend (to be hidden)'!$FI$1:$FL$253,4,FALSE)*-1,"")</f>
        <v/>
      </c>
      <c r="I88" s="150"/>
      <c r="J88" s="6"/>
      <c r="K88" s="6"/>
      <c r="L88" s="6"/>
    </row>
    <row r="89" spans="1:12" ht="25.5" hidden="1" outlineLevel="1">
      <c r="A89" s="28"/>
      <c r="B89" s="260"/>
      <c r="C89" s="564" t="str">
        <f>'Backend (to be hidden)'!FI16</f>
        <v xml:space="preserve">Cellulose / loose fill / Greenfiber / Sanctuary / Avg of all facilties / 17.1 kg/m3 / R3.8-inch </v>
      </c>
      <c r="D89" s="345"/>
      <c r="E89" s="261"/>
      <c r="F89" s="261" t="str">
        <f>VLOOKUP(C89,'Backend (to be hidden)'!$FI$1:$FM$241,5,FALSE)</f>
        <v>m³</v>
      </c>
      <c r="G89" s="267"/>
      <c r="H89" s="346" t="str">
        <f>IF(ISNUMBER(D89),D89*VLOOKUP(C89,'Backend (to be hidden)'!$FI$1:$FL$253,4,FALSE)*-1,"")</f>
        <v/>
      </c>
      <c r="I89" s="150"/>
      <c r="J89" s="6"/>
      <c r="K89" s="6"/>
      <c r="L89" s="6"/>
    </row>
    <row r="90" spans="1:12" ht="25.5" hidden="1" outlineLevel="1">
      <c r="A90" s="28"/>
      <c r="B90" s="260"/>
      <c r="C90" s="564" t="str">
        <f>'Backend (to be hidden)'!FI17</f>
        <v>Cellulose / spray applied / International Cellulose Corp. / K-13, ThermoCon / R 3.75-inch</v>
      </c>
      <c r="D90" s="345"/>
      <c r="E90" s="261"/>
      <c r="F90" s="261" t="str">
        <f>VLOOKUP(C90,'Backend (to be hidden)'!$FI$1:$FM$241,5,FALSE)</f>
        <v>m³</v>
      </c>
      <c r="G90" s="267"/>
      <c r="H90" s="346" t="str">
        <f>IF(ISNUMBER(D90),D90*VLOOKUP(C90,'Backend (to be hidden)'!$FI$1:$FL$253,4,FALSE)*-1,"")</f>
        <v/>
      </c>
      <c r="I90" s="150"/>
      <c r="J90" s="6"/>
      <c r="K90" s="6"/>
      <c r="L90" s="6"/>
    </row>
    <row r="91" spans="1:12" hidden="1" outlineLevel="1">
      <c r="A91" s="28"/>
      <c r="B91" s="260"/>
      <c r="C91" s="564" t="str">
        <f>'Backend (to be hidden)'!FI18</f>
        <v>Cob wall / Site mixed / 18" (457 mm) avg. thickness [US]</v>
      </c>
      <c r="D91" s="345"/>
      <c r="E91" s="261"/>
      <c r="F91" s="261" t="str">
        <f>VLOOKUP(C91,'Backend (to be hidden)'!$FI$1:$FM$241,5,FALSE)</f>
        <v>m³</v>
      </c>
      <c r="G91" s="267"/>
      <c r="H91" s="346" t="str">
        <f>IF(ISNUMBER(D91),D91*VLOOKUP(C91,'Backend (to be hidden)'!$FI$1:$FL$253,4,FALSE)*-1,"")</f>
        <v/>
      </c>
      <c r="I91" s="150"/>
      <c r="J91" s="6"/>
      <c r="K91" s="6"/>
      <c r="L91" s="6"/>
    </row>
    <row r="92" spans="1:12" ht="25.5" hidden="1" outlineLevel="1">
      <c r="A92" s="28"/>
      <c r="B92" s="260"/>
      <c r="C92" s="564" t="str">
        <f>'Backend (to be hidden)'!FI19</f>
        <v>Composite sheathing panel / Continuus Materials / Everboard / Fiberglass facing / 1/2-inch</v>
      </c>
      <c r="D92" s="345"/>
      <c r="E92" s="261"/>
      <c r="F92" s="261" t="str">
        <f>VLOOKUP(C92,'Backend (to be hidden)'!$FI$1:$FM$241,5,FALSE)</f>
        <v>m³</v>
      </c>
      <c r="G92" s="267"/>
      <c r="H92" s="346" t="str">
        <f>IF(ISNUMBER(D92),D92*VLOOKUP(C92,'Backend (to be hidden)'!$FI$1:$FL$253,4,FALSE)*-1,"")</f>
        <v/>
      </c>
      <c r="I92" s="150"/>
      <c r="J92" s="6"/>
      <c r="K92" s="6"/>
      <c r="L92" s="6"/>
    </row>
    <row r="93" spans="1:12" ht="25.5" hidden="1" outlineLevel="1">
      <c r="A93" s="28"/>
      <c r="B93" s="260"/>
      <c r="C93" s="564" t="str">
        <f>'Backend (to be hidden)'!FI20</f>
        <v>Composite sheathing panel / Continuus Materials / Everboard / Paper facing / 1/2-inch</v>
      </c>
      <c r="D93" s="345"/>
      <c r="E93" s="261"/>
      <c r="F93" s="261" t="str">
        <f>VLOOKUP(C93,'Backend (to be hidden)'!$FI$1:$FM$241,5,FALSE)</f>
        <v>m³</v>
      </c>
      <c r="G93" s="267"/>
      <c r="H93" s="346" t="str">
        <f>IF(ISNUMBER(D93),D93*VLOOKUP(C93,'Backend (to be hidden)'!$FI$1:$FL$253,4,FALSE)*-1,"")</f>
        <v/>
      </c>
      <c r="I93" s="150"/>
      <c r="J93" s="6"/>
      <c r="K93" s="6"/>
      <c r="L93" s="6"/>
    </row>
    <row r="94" spans="1:12" hidden="1" outlineLevel="1">
      <c r="A94" s="28"/>
      <c r="B94" s="260"/>
      <c r="C94" s="564" t="str">
        <f>'Backend (to be hidden)'!FI21</f>
        <v>Composite sheathing panel / Honext / Fire resistant panel / 12 mm [EU]</v>
      </c>
      <c r="D94" s="345"/>
      <c r="E94" s="261"/>
      <c r="F94" s="261" t="str">
        <f>VLOOKUP(C94,'Backend (to be hidden)'!$FI$1:$FM$241,5,FALSE)</f>
        <v>m³</v>
      </c>
      <c r="G94" s="267"/>
      <c r="H94" s="346" t="str">
        <f>IF(ISNUMBER(D94),D94*VLOOKUP(C94,'Backend (to be hidden)'!$FI$1:$FL$253,4,FALSE)*-1,"")</f>
        <v/>
      </c>
      <c r="I94" s="150"/>
      <c r="J94" s="6"/>
      <c r="K94" s="6"/>
      <c r="L94" s="6"/>
    </row>
    <row r="95" spans="1:12" hidden="1" outlineLevel="1">
      <c r="A95" s="28"/>
      <c r="B95" s="260"/>
      <c r="C95" s="564" t="str">
        <f>'Backend (to be hidden)'!FI22</f>
        <v>Composite sheathing panel / James Hardie Europe / Fermacell / 12.5mm [EU]</v>
      </c>
      <c r="D95" s="345"/>
      <c r="E95" s="261"/>
      <c r="F95" s="261" t="str">
        <f>VLOOKUP(C95,'Backend (to be hidden)'!$FI$1:$FM$241,5,FALSE)</f>
        <v>m³</v>
      </c>
      <c r="G95" s="267"/>
      <c r="H95" s="346" t="str">
        <f>IF(ISNUMBER(D95),D95*VLOOKUP(C95,'Backend (to be hidden)'!$FI$1:$FL$253,4,FALSE)*-1,"")</f>
        <v/>
      </c>
      <c r="I95" s="150"/>
      <c r="J95" s="6"/>
      <c r="K95" s="6"/>
      <c r="L95" s="6"/>
    </row>
    <row r="96" spans="1:12" ht="25.5" hidden="1" outlineLevel="1">
      <c r="A96" s="28"/>
      <c r="B96" s="260"/>
      <c r="C96" s="564" t="str">
        <f>'Backend (to be hidden)'!FI23</f>
        <v>Compressed straw board / Durra Panel / Durra Wall &amp; Ceiling Panels / 50 mm / R1.8-inch</v>
      </c>
      <c r="D96" s="345"/>
      <c r="E96" s="261"/>
      <c r="F96" s="261" t="str">
        <f>VLOOKUP(C96,'Backend (to be hidden)'!$FI$1:$FM$241,5,FALSE)</f>
        <v>m³</v>
      </c>
      <c r="G96" s="267"/>
      <c r="H96" s="346" t="str">
        <f>IF(ISNUMBER(D96),D96*VLOOKUP(C96,'Backend (to be hidden)'!$FI$1:$FL$253,4,FALSE)*-1,"")</f>
        <v/>
      </c>
      <c r="I96" s="150"/>
      <c r="J96" s="6"/>
      <c r="K96" s="6"/>
      <c r="L96" s="6"/>
    </row>
    <row r="97" spans="1:12" ht="25.5" hidden="1" outlineLevel="1">
      <c r="A97" s="28"/>
      <c r="B97" s="260"/>
      <c r="C97" s="564" t="str">
        <f>'Backend (to be hidden)'!FI24</f>
        <v>Compressed straw board / Ekopanely / Ekopanel E60-1200 / 60 mm / R1.45-inch [EU]</v>
      </c>
      <c r="D97" s="345"/>
      <c r="E97" s="261"/>
      <c r="F97" s="261" t="str">
        <f>VLOOKUP(C97,'Backend (to be hidden)'!$FI$1:$FM$241,5,FALSE)</f>
        <v>m³</v>
      </c>
      <c r="G97" s="267"/>
      <c r="H97" s="346" t="str">
        <f>IF(ISNUMBER(D97),D97*VLOOKUP(C97,'Backend (to be hidden)'!$FI$1:$FL$253,4,FALSE)*-1,"")</f>
        <v/>
      </c>
      <c r="I97" s="150"/>
      <c r="J97" s="6"/>
      <c r="K97" s="6"/>
      <c r="L97" s="6"/>
    </row>
    <row r="98" spans="1:12" ht="25.5" hidden="1" outlineLevel="1">
      <c r="A98" s="28"/>
      <c r="B98" s="260"/>
      <c r="C98" s="564" t="str">
        <f>'Backend (to be hidden)'!FI25</f>
        <v>Compressed straw board/ Ekopanely / Ekopanel E40-800 / 40 mm / R1.45-inch [EU]</v>
      </c>
      <c r="D98" s="345"/>
      <c r="E98" s="261"/>
      <c r="F98" s="261" t="str">
        <f>VLOOKUP(C98,'Backend (to be hidden)'!$FI$1:$FM$241,5,FALSE)</f>
        <v>m³</v>
      </c>
      <c r="G98" s="267"/>
      <c r="H98" s="346" t="str">
        <f>IF(ISNUMBER(D98),D98*VLOOKUP(C98,'Backend (to be hidden)'!$FI$1:$FL$253,4,FALSE)*-1,"")</f>
        <v/>
      </c>
      <c r="I98" s="150"/>
      <c r="J98" s="6"/>
      <c r="K98" s="6"/>
      <c r="L98" s="6"/>
    </row>
    <row r="99" spans="1:12" ht="25.5" hidden="1" outlineLevel="1">
      <c r="A99" s="28"/>
      <c r="B99" s="260"/>
      <c r="C99" s="564" t="str">
        <f>'Backend (to be hidden)'!FI26</f>
        <v>Cork board insulation / Amorim  / Expanded Insulation Corkboard (ICB) / R3.6-inch, 115 kg/m3 [EU]</v>
      </c>
      <c r="D99" s="345"/>
      <c r="E99" s="261"/>
      <c r="F99" s="261" t="str">
        <f>VLOOKUP(C99,'Backend (to be hidden)'!$FI$1:$FM$241,5,FALSE)</f>
        <v>m³</v>
      </c>
      <c r="G99" s="267"/>
      <c r="H99" s="346" t="str">
        <f>IF(ISNUMBER(D99),D99*VLOOKUP(C99,'Backend (to be hidden)'!$FI$1:$FL$253,4,FALSE)*-1,"")</f>
        <v/>
      </c>
      <c r="I99" s="150"/>
      <c r="J99" s="6"/>
      <c r="K99" s="6"/>
      <c r="L99" s="6"/>
    </row>
    <row r="100" spans="1:12" hidden="1" outlineLevel="1">
      <c r="A100" s="28"/>
      <c r="B100" s="260"/>
      <c r="C100" s="564" t="str">
        <f>'Backend (to be hidden)'!FI27</f>
        <v>Drywall 1/2" / National Gypsum / Gold Bond XP Gypsum Board / 1/2"</v>
      </c>
      <c r="D100" s="345"/>
      <c r="E100" s="261"/>
      <c r="F100" s="261" t="str">
        <f>VLOOKUP(C100,'Backend (to be hidden)'!$FI$1:$FM$241,5,FALSE)</f>
        <v>m³</v>
      </c>
      <c r="G100" s="267"/>
      <c r="H100" s="346" t="str">
        <f>IF(ISNUMBER(D100),D100*VLOOKUP(C100,'Backend (to be hidden)'!$FI$1:$FL$253,4,FALSE)*-1,"")</f>
        <v/>
      </c>
      <c r="I100" s="150"/>
      <c r="J100" s="6"/>
      <c r="K100" s="6"/>
      <c r="L100" s="6"/>
    </row>
    <row r="101" spans="1:12" ht="25.5" hidden="1" outlineLevel="1">
      <c r="A101" s="28"/>
      <c r="B101" s="260"/>
      <c r="C101" s="564" t="str">
        <f>'Backend (to be hidden)'!FI28</f>
        <v>Drywall 5/8" / National Gypsum / Gold Bond XP Fire-Shield Gypsum Board / 5/8" type X</v>
      </c>
      <c r="D101" s="345"/>
      <c r="E101" s="261"/>
      <c r="F101" s="261" t="str">
        <f>VLOOKUP(C101,'Backend (to be hidden)'!$FI$1:$FM$241,5,FALSE)</f>
        <v>m³</v>
      </c>
      <c r="G101" s="267"/>
      <c r="H101" s="346" t="str">
        <f>IF(ISNUMBER(D101),D101*VLOOKUP(C101,'Backend (to be hidden)'!$FI$1:$FL$253,4,FALSE)*-1,"")</f>
        <v/>
      </c>
      <c r="I101" s="150"/>
      <c r="J101" s="6"/>
      <c r="K101" s="6"/>
      <c r="L101" s="6"/>
    </row>
    <row r="102" spans="1:12" hidden="1" outlineLevel="1">
      <c r="A102" s="28"/>
      <c r="B102" s="260"/>
      <c r="C102" s="564" t="str">
        <f>'Backend (to be hidden)'!FI29</f>
        <v>Earthen Floor / Cast-in-place / Clay, sand, and straw / 4" (100 mm) [US]</v>
      </c>
      <c r="D102" s="345"/>
      <c r="E102" s="261"/>
      <c r="F102" s="261" t="str">
        <f>VLOOKUP(C102,'Backend (to be hidden)'!$FI$1:$FM$241,5,FALSE)</f>
        <v>m³</v>
      </c>
      <c r="G102" s="267"/>
      <c r="H102" s="346" t="str">
        <f>IF(ISNUMBER(D102),D102*VLOOKUP(C102,'Backend (to be hidden)'!$FI$1:$FL$253,4,FALSE)*-1,"")</f>
        <v/>
      </c>
      <c r="I102" s="150"/>
      <c r="J102" s="6"/>
      <c r="K102" s="6"/>
      <c r="L102" s="6"/>
    </row>
    <row r="103" spans="1:12" hidden="1" outlineLevel="1">
      <c r="A103" s="28"/>
      <c r="B103" s="260"/>
      <c r="C103" s="564" t="str">
        <f>'Backend (to be hidden)'!FI30</f>
        <v>Fiber Cement roofing / Cembrit / Corrugated sheets / 6.5 mm / [EU]</v>
      </c>
      <c r="D103" s="345"/>
      <c r="E103" s="261"/>
      <c r="F103" s="261" t="str">
        <f>VLOOKUP(C103,'Backend (to be hidden)'!$FI$1:$FM$241,5,FALSE)</f>
        <v>m³</v>
      </c>
      <c r="G103" s="267"/>
      <c r="H103" s="346" t="str">
        <f>IF(ISNUMBER(D103),D103*VLOOKUP(C103,'Backend (to be hidden)'!$FI$1:$FL$253,4,FALSE)*-1,"")</f>
        <v/>
      </c>
      <c r="I103" s="150"/>
      <c r="J103" s="6"/>
      <c r="K103" s="6"/>
      <c r="L103" s="6"/>
    </row>
    <row r="104" spans="1:12" hidden="1" outlineLevel="1">
      <c r="A104" s="28"/>
      <c r="B104" s="260"/>
      <c r="C104" s="564" t="str">
        <f>'Backend (to be hidden)'!FI31</f>
        <v>Fiber Cement roofing / Cembrit / Slates / 4 mm / [EU]</v>
      </c>
      <c r="D104" s="345"/>
      <c r="E104" s="261"/>
      <c r="F104" s="261" t="str">
        <f>VLOOKUP(C104,'Backend (to be hidden)'!$FI$1:$FM$241,5,FALSE)</f>
        <v>m³</v>
      </c>
      <c r="G104" s="267"/>
      <c r="H104" s="346" t="str">
        <f>IF(ISNUMBER(D104),D104*VLOOKUP(C104,'Backend (to be hidden)'!$FI$1:$FL$253,4,FALSE)*-1,"")</f>
        <v/>
      </c>
      <c r="I104" s="150"/>
      <c r="J104" s="6"/>
      <c r="K104" s="6"/>
      <c r="L104" s="6"/>
    </row>
    <row r="105" spans="1:12" hidden="1" outlineLevel="1">
      <c r="A105" s="28"/>
      <c r="B105" s="260"/>
      <c r="C105" s="564" t="str">
        <f>'Backend (to be hidden)'!FI32</f>
        <v>Fiber Cement siding / Equitone / Linea|Lunara sheets / 10 mm [EU]</v>
      </c>
      <c r="D105" s="345"/>
      <c r="E105" s="261"/>
      <c r="F105" s="261" t="str">
        <f>VLOOKUP(C105,'Backend (to be hidden)'!$FI$1:$FM$241,5,FALSE)</f>
        <v>m³</v>
      </c>
      <c r="G105" s="267"/>
      <c r="H105" s="346" t="str">
        <f>IF(ISNUMBER(D105),D105*VLOOKUP(C105,'Backend (to be hidden)'!$FI$1:$FL$253,4,FALSE)*-1,"")</f>
        <v/>
      </c>
      <c r="I105" s="150"/>
      <c r="J105" s="6"/>
      <c r="K105" s="6"/>
      <c r="L105" s="6"/>
    </row>
    <row r="106" spans="1:12" hidden="1" outlineLevel="1">
      <c r="A106" s="28"/>
      <c r="B106" s="260"/>
      <c r="C106" s="564" t="str">
        <f>'Backend (to be hidden)'!FI33</f>
        <v>Fiber Cement siding / Equitone / Pictura, Natura Pro, sheets / 8 mm [EU]</v>
      </c>
      <c r="D106" s="345"/>
      <c r="E106" s="261"/>
      <c r="F106" s="261" t="str">
        <f>VLOOKUP(C106,'Backend (to be hidden)'!$FI$1:$FM$241,5,FALSE)</f>
        <v>m³</v>
      </c>
      <c r="G106" s="267"/>
      <c r="H106" s="346" t="str">
        <f>IF(ISNUMBER(D106),D106*VLOOKUP(C106,'Backend (to be hidden)'!$FI$1:$FL$253,4,FALSE)*-1,"")</f>
        <v/>
      </c>
      <c r="I106" s="150"/>
      <c r="J106" s="6"/>
      <c r="K106" s="6"/>
      <c r="L106" s="6"/>
    </row>
    <row r="107" spans="1:12" ht="25.5" hidden="1" outlineLevel="1">
      <c r="A107" s="28"/>
      <c r="B107" s="260"/>
      <c r="C107" s="564" t="str">
        <f>'Backend (to be hidden)'!FI34</f>
        <v>Fiber Cement siding / JamesHardie / Hardie Plank HZ10, Hardie Panel HZ10, Hardie Architectural Panel HZ10 / 8 mm</v>
      </c>
      <c r="D107" s="345"/>
      <c r="E107" s="261"/>
      <c r="F107" s="261" t="str">
        <f>VLOOKUP(C107,'Backend (to be hidden)'!$FI$1:$FM$241,5,FALSE)</f>
        <v>m³</v>
      </c>
      <c r="G107" s="267"/>
      <c r="H107" s="346" t="str">
        <f>IF(ISNUMBER(D107),D107*VLOOKUP(C107,'Backend (to be hidden)'!$FI$1:$FL$253,4,FALSE)*-1,"")</f>
        <v/>
      </c>
      <c r="I107" s="150"/>
      <c r="J107" s="6"/>
      <c r="K107" s="6"/>
      <c r="L107" s="6"/>
    </row>
    <row r="108" spans="1:12" ht="25.5" hidden="1" outlineLevel="1">
      <c r="A108" s="28"/>
      <c r="B108" s="260"/>
      <c r="C108" s="564" t="str">
        <f>'Backend (to be hidden)'!FI35</f>
        <v>Fiber Cement siding / JamesHardie / Hardie Plank HZ5, Hardie Panel HZ5, Hardie Architectural Panel HZ5 / 8 mm</v>
      </c>
      <c r="D108" s="345"/>
      <c r="E108" s="261"/>
      <c r="F108" s="261" t="str">
        <f>VLOOKUP(C108,'Backend (to be hidden)'!$FI$1:$FM$241,5,FALSE)</f>
        <v>m³</v>
      </c>
      <c r="G108" s="267"/>
      <c r="H108" s="346" t="str">
        <f>IF(ISNUMBER(D108),D108*VLOOKUP(C108,'Backend (to be hidden)'!$FI$1:$FL$253,4,FALSE)*-1,"")</f>
        <v/>
      </c>
      <c r="I108" s="150"/>
      <c r="J108" s="6"/>
      <c r="K108" s="6"/>
      <c r="L108" s="6"/>
    </row>
    <row r="109" spans="1:12" hidden="1" outlineLevel="1">
      <c r="A109" s="28"/>
      <c r="B109" s="260"/>
      <c r="C109" s="564" t="str">
        <f>'Backend (to be hidden)'!FI36</f>
        <v>Fiber Cement siding / JamesHardie / Hardie Shingle HZ10 /  6.3 mm</v>
      </c>
      <c r="D109" s="345"/>
      <c r="E109" s="261"/>
      <c r="F109" s="261" t="str">
        <f>VLOOKUP(C109,'Backend (to be hidden)'!$FI$1:$FM$241,5,FALSE)</f>
        <v>m³</v>
      </c>
      <c r="G109" s="267"/>
      <c r="H109" s="346" t="str">
        <f>IF(ISNUMBER(D109),D109*VLOOKUP(C109,'Backend (to be hidden)'!$FI$1:$FL$253,4,FALSE)*-1,"")</f>
        <v/>
      </c>
      <c r="I109" s="150"/>
      <c r="J109" s="6"/>
      <c r="K109" s="6"/>
      <c r="L109" s="6"/>
    </row>
    <row r="110" spans="1:12" hidden="1" outlineLevel="1">
      <c r="A110" s="28"/>
      <c r="B110" s="260"/>
      <c r="C110" s="564" t="str">
        <f>'Backend (to be hidden)'!FI37</f>
        <v>Fiber Cement siding / JamesHardie / Hardie Shingle HZ5 / 6.3 mm</v>
      </c>
      <c r="D110" s="345"/>
      <c r="E110" s="261"/>
      <c r="F110" s="261" t="str">
        <f>VLOOKUP(C110,'Backend (to be hidden)'!$FI$1:$FM$241,5,FALSE)</f>
        <v>m³</v>
      </c>
      <c r="G110" s="267"/>
      <c r="H110" s="346" t="str">
        <f>IF(ISNUMBER(D110),D110*VLOOKUP(C110,'Backend (to be hidden)'!$FI$1:$FL$253,4,FALSE)*-1,"")</f>
        <v/>
      </c>
      <c r="I110" s="150"/>
      <c r="J110" s="6"/>
      <c r="K110" s="6"/>
      <c r="L110" s="6"/>
    </row>
    <row r="111" spans="1:12" hidden="1" outlineLevel="1">
      <c r="A111" s="28"/>
      <c r="B111" s="260"/>
      <c r="C111" s="564" t="str">
        <f>'Backend (to be hidden)'!FI38</f>
        <v>Grass Insulation / Gramitherm 100 batt / R3.5-inch [EU]</v>
      </c>
      <c r="D111" s="345"/>
      <c r="E111" s="261"/>
      <c r="F111" s="261" t="str">
        <f>VLOOKUP(C111,'Backend (to be hidden)'!$FI$1:$FM$241,5,FALSE)</f>
        <v>m³</v>
      </c>
      <c r="G111" s="267"/>
      <c r="H111" s="346" t="str">
        <f>IF(ISNUMBER(D111),D111*VLOOKUP(C111,'Backend (to be hidden)'!$FI$1:$FL$253,4,FALSE)*-1,"")</f>
        <v/>
      </c>
      <c r="I111" s="150"/>
      <c r="J111" s="6"/>
      <c r="K111" s="6"/>
      <c r="L111" s="6"/>
    </row>
    <row r="112" spans="1:12" hidden="1" outlineLevel="1">
      <c r="A112" s="28"/>
      <c r="B112" s="260"/>
      <c r="C112" s="564" t="str">
        <f>'Backend (to be hidden)'!FI39</f>
        <v>Hemp fiber batt / Ekolution / Hemp fiber insulation / R 3.6-inch [EU]</v>
      </c>
      <c r="D112" s="345"/>
      <c r="E112" s="261"/>
      <c r="F112" s="261" t="str">
        <f>VLOOKUP(C112,'Backend (to be hidden)'!$FI$1:$FM$241,5,FALSE)</f>
        <v>m³</v>
      </c>
      <c r="G112" s="267"/>
      <c r="H112" s="346" t="str">
        <f>IF(ISNUMBER(D112),D112*VLOOKUP(C112,'Backend (to be hidden)'!$FI$1:$FL$253,4,FALSE)*-1,"")</f>
        <v/>
      </c>
      <c r="I112" s="150"/>
      <c r="J112" s="6"/>
      <c r="K112" s="6"/>
      <c r="L112" s="6"/>
    </row>
    <row r="113" spans="1:12" hidden="1" outlineLevel="1">
      <c r="A113" s="28"/>
      <c r="B113" s="260"/>
      <c r="C113" s="564" t="str">
        <f>'Backend (to be hidden)'!FI40</f>
        <v>Hemp fiber batt / KOBE-cz / ECO HempFlex insulation / R 3.6-inch [EU]</v>
      </c>
      <c r="D113" s="345"/>
      <c r="E113" s="261"/>
      <c r="F113" s="261" t="str">
        <f>VLOOKUP(C113,'Backend (to be hidden)'!$FI$1:$FM$241,5,FALSE)</f>
        <v>m³</v>
      </c>
      <c r="G113" s="267"/>
      <c r="H113" s="346" t="str">
        <f>IF(ISNUMBER(D113),D113*VLOOKUP(C113,'Backend (to be hidden)'!$FI$1:$FL$253,4,FALSE)*-1,"")</f>
        <v/>
      </c>
      <c r="I113" s="150"/>
      <c r="J113" s="6"/>
      <c r="K113" s="6"/>
      <c r="L113" s="6"/>
    </row>
    <row r="114" spans="1:12" hidden="1" outlineLevel="1">
      <c r="A114" s="28"/>
      <c r="B114" s="260"/>
      <c r="C114" s="564" t="str">
        <f>'Backend (to be hidden)'!FI41</f>
        <v>Hemp fiber batt / NaturFibre / Hemp Wool / R 3.7-inch</v>
      </c>
      <c r="D114" s="345"/>
      <c r="E114" s="261"/>
      <c r="F114" s="261" t="str">
        <f>VLOOKUP(C114,'Backend (to be hidden)'!$FI$1:$FM$241,5,FALSE)</f>
        <v>m³</v>
      </c>
      <c r="G114" s="267"/>
      <c r="H114" s="346" t="str">
        <f>IF(ISNUMBER(D114),D114*VLOOKUP(C114,'Backend (to be hidden)'!$FI$1:$FL$253,4,FALSE)*-1,"")</f>
        <v/>
      </c>
      <c r="I114" s="150"/>
      <c r="J114" s="6"/>
      <c r="K114" s="6"/>
      <c r="L114" s="6"/>
    </row>
    <row r="115" spans="1:12" hidden="1" outlineLevel="1">
      <c r="A115" s="28"/>
      <c r="B115" s="260"/>
      <c r="C115" s="564" t="str">
        <f>'Backend (to be hidden)'!FI42</f>
        <v>Hempcrete / Cast in-situ / Avg. mix using NHL &amp; PHL / R 2.2-inch / USA</v>
      </c>
      <c r="D115" s="345"/>
      <c r="E115" s="261"/>
      <c r="F115" s="261" t="str">
        <f>VLOOKUP(C115,'Backend (to be hidden)'!$FI$1:$FM$241,5,FALSE)</f>
        <v>m³</v>
      </c>
      <c r="G115" s="267"/>
      <c r="H115" s="346" t="str">
        <f>IF(ISNUMBER(D115),D115*VLOOKUP(C115,'Backend (to be hidden)'!$FI$1:$FL$253,4,FALSE)*-1,"")</f>
        <v/>
      </c>
      <c r="I115" s="150"/>
      <c r="J115" s="6"/>
      <c r="K115" s="6"/>
      <c r="L115" s="6"/>
    </row>
    <row r="116" spans="1:12" hidden="1" outlineLevel="1">
      <c r="A116" s="28"/>
      <c r="B116" s="260"/>
      <c r="C116" s="564" t="str">
        <f>'Backend (to be hidden)'!FI43</f>
        <v>Hempcrete / Cast in-situ / IsoHemp / R 2.2-inch / [EU]</v>
      </c>
      <c r="D116" s="345"/>
      <c r="E116" s="261"/>
      <c r="F116" s="261" t="str">
        <f>VLOOKUP(C116,'Backend (to be hidden)'!$FI$1:$FM$241,5,FALSE)</f>
        <v>m³</v>
      </c>
      <c r="G116" s="267"/>
      <c r="H116" s="346" t="str">
        <f>IF(ISNUMBER(D116),D116*VLOOKUP(C116,'Backend (to be hidden)'!$FI$1:$FL$253,4,FALSE)*-1,"")</f>
        <v/>
      </c>
      <c r="I116" s="150"/>
      <c r="J116" s="6"/>
      <c r="K116" s="6"/>
      <c r="L116" s="6"/>
    </row>
    <row r="117" spans="1:12" ht="25.5" hidden="1" outlineLevel="1">
      <c r="A117" s="28"/>
      <c r="B117" s="260"/>
      <c r="C117" s="564" t="str">
        <f>'Backend (to be hidden)'!FI44</f>
        <v>Hempcrete block / Isohemp / Hemp Block PAL36EX  including mortar / 600 x 300 x 150-360 mm / R 2.0-inch [EU]</v>
      </c>
      <c r="D117" s="345"/>
      <c r="E117" s="261"/>
      <c r="F117" s="261" t="str">
        <f>VLOOKUP(C117,'Backend (to be hidden)'!$FI$1:$FM$241,5,FALSE)</f>
        <v>m³</v>
      </c>
      <c r="G117" s="267"/>
      <c r="H117" s="346" t="str">
        <f>IF(ISNUMBER(D117),D117*VLOOKUP(C117,'Backend (to be hidden)'!$FI$1:$FL$253,4,FALSE)*-1,"")</f>
        <v/>
      </c>
      <c r="I117" s="150"/>
      <c r="J117" s="6"/>
      <c r="K117" s="6"/>
      <c r="L117" s="6"/>
    </row>
    <row r="118" spans="1:12" ht="25.5" hidden="1" outlineLevel="1">
      <c r="A118" s="28"/>
      <c r="B118" s="260"/>
      <c r="C118" s="564" t="str">
        <f>'Backend (to be hidden)'!FI45</f>
        <v>Hempcrete block / Senini / Blocco Ambiente / 20x50x30 / R2.1-inch / 330 kg/m3 [EU]</v>
      </c>
      <c r="D118" s="345"/>
      <c r="E118" s="261"/>
      <c r="F118" s="261" t="str">
        <f>VLOOKUP(C118,'Backend (to be hidden)'!$FI$1:$FM$241,5,FALSE)</f>
        <v>m³</v>
      </c>
      <c r="G118" s="267"/>
      <c r="H118" s="346" t="str">
        <f>IF(ISNUMBER(D118),D118*VLOOKUP(C118,'Backend (to be hidden)'!$FI$1:$FL$253,4,FALSE)*-1,"")</f>
        <v/>
      </c>
      <c r="I118" s="150"/>
      <c r="J118" s="6"/>
      <c r="K118" s="6"/>
      <c r="L118" s="6"/>
    </row>
    <row r="119" spans="1:12" hidden="1" outlineLevel="1">
      <c r="A119" s="28"/>
      <c r="B119" s="260"/>
      <c r="C119" s="564" t="str">
        <f>'Backend (to be hidden)'!FI46</f>
        <v>Hempcrete cast in place / Senini / Bio Beton Jet / R2.7-inch / 230 kg/m3 [EU]</v>
      </c>
      <c r="D119" s="345"/>
      <c r="E119" s="261"/>
      <c r="F119" s="261" t="str">
        <f>VLOOKUP(C119,'Backend (to be hidden)'!$FI$1:$FM$241,5,FALSE)</f>
        <v>m³</v>
      </c>
      <c r="G119" s="267"/>
      <c r="H119" s="346" t="str">
        <f>IF(ISNUMBER(D119),D119*VLOOKUP(C119,'Backend (to be hidden)'!$FI$1:$FL$253,4,FALSE)*-1,"")</f>
        <v/>
      </c>
      <c r="I119" s="150"/>
      <c r="J119" s="6"/>
      <c r="K119" s="6"/>
      <c r="L119" s="6"/>
    </row>
    <row r="120" spans="1:12" hidden="1" outlineLevel="1">
      <c r="A120" s="28"/>
      <c r="B120" s="260"/>
      <c r="C120" s="564" t="str">
        <f>'Backend (to be hidden)'!FI47</f>
        <v>Hempcrete dry fill / Senini / Bio Beton Pronto / R2.7-inch / 190 kg/m3 [EU]</v>
      </c>
      <c r="D120" s="345"/>
      <c r="E120" s="261"/>
      <c r="F120" s="261" t="str">
        <f>VLOOKUP(C120,'Backend (to be hidden)'!$FI$1:$FM$241,5,FALSE)</f>
        <v>m³</v>
      </c>
      <c r="G120" s="267"/>
      <c r="H120" s="346" t="str">
        <f>IF(ISNUMBER(D120),D120*VLOOKUP(C120,'Backend (to be hidden)'!$FI$1:$FL$253,4,FALSE)*-1,"")</f>
        <v/>
      </c>
      <c r="I120" s="150"/>
      <c r="J120" s="6"/>
      <c r="K120" s="6"/>
      <c r="L120" s="6"/>
    </row>
    <row r="121" spans="1:12" hidden="1" outlineLevel="1">
      <c r="A121" s="28"/>
      <c r="B121" s="260"/>
      <c r="C121" s="564" t="str">
        <f>'Backend (to be hidden)'!FI48</f>
        <v>HempWood / Fibonacci / Natural Laminate Flooring / 16 mm</v>
      </c>
      <c r="D121" s="345"/>
      <c r="E121" s="261"/>
      <c r="F121" s="261" t="str">
        <f>VLOOKUP(C121,'Backend (to be hidden)'!$FI$1:$FM$241,5,FALSE)</f>
        <v>m³</v>
      </c>
      <c r="G121" s="267"/>
      <c r="H121" s="346" t="str">
        <f>IF(ISNUMBER(D121),D121*VLOOKUP(C121,'Backend (to be hidden)'!$FI$1:$FL$253,4,FALSE)*-1,"")</f>
        <v/>
      </c>
      <c r="I121" s="150"/>
      <c r="J121" s="6"/>
      <c r="K121" s="6"/>
      <c r="L121" s="6"/>
    </row>
    <row r="122" spans="1:12" hidden="1" outlineLevel="1">
      <c r="A122" s="28"/>
      <c r="B122" s="260"/>
      <c r="C122" s="564" t="str">
        <f>'Backend (to be hidden)'!FI49</f>
        <v>Lime/Cork Plaster (Ext. &amp; Int.) / Diasen / Diathonite Evolution, R3.2-inch / 3/4" [EU]</v>
      </c>
      <c r="D122" s="345"/>
      <c r="E122" s="261"/>
      <c r="F122" s="261" t="str">
        <f>VLOOKUP(C122,'Backend (to be hidden)'!$FI$1:$FM$241,5,FALSE)</f>
        <v>m³</v>
      </c>
      <c r="G122" s="267"/>
      <c r="H122" s="346" t="str">
        <f>IF(ISNUMBER(D122),D122*VLOOKUP(C122,'Backend (to be hidden)'!$FI$1:$FL$253,4,FALSE)*-1,"")</f>
        <v/>
      </c>
      <c r="I122" s="150"/>
      <c r="J122" s="6"/>
      <c r="K122" s="6"/>
      <c r="L122" s="6"/>
    </row>
    <row r="123" spans="1:12" ht="25.5" hidden="1" outlineLevel="1">
      <c r="A123" s="28"/>
      <c r="B123" s="260"/>
      <c r="C123" s="564" t="str">
        <f>'Backend (to be hidden)'!FI50</f>
        <v>Lime/Cork Plaster (Ext. &amp; Int.) / Diasen / Diathonite Thermactive.037, R3.9-inch / 3/4" [EU]</v>
      </c>
      <c r="D123" s="345"/>
      <c r="E123" s="261"/>
      <c r="F123" s="261" t="str">
        <f>VLOOKUP(C123,'Backend (to be hidden)'!$FI$1:$FM$241,5,FALSE)</f>
        <v>m³</v>
      </c>
      <c r="G123" s="267"/>
      <c r="H123" s="346" t="str">
        <f>IF(ISNUMBER(D123),D123*VLOOKUP(C123,'Backend (to be hidden)'!$FI$1:$FL$253,4,FALSE)*-1,"")</f>
        <v/>
      </c>
      <c r="I123" s="150"/>
      <c r="J123" s="6"/>
      <c r="K123" s="6"/>
      <c r="L123" s="6"/>
    </row>
    <row r="124" spans="1:12" hidden="1" outlineLevel="1">
      <c r="A124" s="28"/>
      <c r="B124" s="260"/>
      <c r="C124" s="564" t="str">
        <f>'Backend (to be hidden)'!FI51</f>
        <v>Lime/Cork Plaster (Int.) / Diasen / Diathonite Acoustix, 3/4" [EU]</v>
      </c>
      <c r="D124" s="345"/>
      <c r="E124" s="261"/>
      <c r="F124" s="261" t="str">
        <f>VLOOKUP(C124,'Backend (to be hidden)'!$FI$1:$FM$241,5,FALSE)</f>
        <v>m³</v>
      </c>
      <c r="G124" s="267"/>
      <c r="H124" s="346" t="str">
        <f>IF(ISNUMBER(D124),D124*VLOOKUP(C124,'Backend (to be hidden)'!$FI$1:$FL$253,4,FALSE)*-1,"")</f>
        <v/>
      </c>
      <c r="I124" s="150"/>
      <c r="J124" s="6"/>
      <c r="K124" s="6"/>
      <c r="L124" s="6"/>
    </row>
    <row r="125" spans="1:12" hidden="1" outlineLevel="1">
      <c r="A125" s="28"/>
      <c r="B125" s="260"/>
      <c r="C125" s="564" t="str">
        <f>'Backend (to be hidden)'!FI52</f>
        <v>MgO board 1/2" / Sinh Build / MAGOXX boards / 1/2" [EU]</v>
      </c>
      <c r="D125" s="345"/>
      <c r="E125" s="261"/>
      <c r="F125" s="261" t="str">
        <f>VLOOKUP(C125,'Backend (to be hidden)'!$FI$1:$FM$241,5,FALSE)</f>
        <v>m³</v>
      </c>
      <c r="G125" s="267"/>
      <c r="H125" s="346" t="str">
        <f>IF(ISNUMBER(D125),D125*VLOOKUP(C125,'Backend (to be hidden)'!$FI$1:$FL$253,4,FALSE)*-1,"")</f>
        <v/>
      </c>
      <c r="I125" s="150"/>
      <c r="J125" s="6"/>
      <c r="K125" s="6"/>
      <c r="L125" s="6"/>
    </row>
    <row r="126" spans="1:12" hidden="1" outlineLevel="1">
      <c r="A126" s="28"/>
      <c r="B126" s="260"/>
      <c r="C126" s="564" t="str">
        <f>'Backend (to be hidden)'!FI53</f>
        <v>Straw bale infill with wood framing (SIP) / R-46 / 14" / double 2x4 @ 30" o/c</v>
      </c>
      <c r="D126" s="345"/>
      <c r="E126" s="261"/>
      <c r="F126" s="261" t="str">
        <f>VLOOKUP(C126,'Backend (to be hidden)'!$FI$1:$FM$241,5,FALSE)</f>
        <v>m2</v>
      </c>
      <c r="G126" s="267"/>
      <c r="H126" s="346" t="str">
        <f>IF(ISNUMBER(D126),D126*VLOOKUP(C126,'Backend (to be hidden)'!$FI$1:$FL$253,4,FALSE)*-1,"")</f>
        <v/>
      </c>
      <c r="I126" s="150"/>
      <c r="J126" s="6"/>
      <c r="K126" s="6"/>
      <c r="L126" s="6"/>
    </row>
    <row r="127" spans="1:12" hidden="1" outlineLevel="1">
      <c r="A127" s="28"/>
      <c r="B127" s="260"/>
      <c r="C127" s="564" t="str">
        <f>'Backend (to be hidden)'!FI54</f>
        <v>Straw board / VestaEco Straw Insulation Boards 140 / R 4-inch  [EU]</v>
      </c>
      <c r="D127" s="345"/>
      <c r="E127" s="261"/>
      <c r="F127" s="261" t="str">
        <f>VLOOKUP(C127,'Backend (to be hidden)'!$FI$1:$FM$241,5,FALSE)</f>
        <v>m³</v>
      </c>
      <c r="G127" s="267"/>
      <c r="H127" s="346" t="str">
        <f>IF(ISNUMBER(D127),D127*VLOOKUP(C127,'Backend (to be hidden)'!$FI$1:$FL$253,4,FALSE)*-1,"")</f>
        <v/>
      </c>
      <c r="I127" s="150"/>
      <c r="J127" s="6"/>
      <c r="K127" s="6"/>
      <c r="L127" s="6"/>
    </row>
    <row r="128" spans="1:12" hidden="1" outlineLevel="1">
      <c r="A128" s="28"/>
      <c r="B128" s="260"/>
      <c r="C128" s="564" t="str">
        <f>'Backend (to be hidden)'!FI55</f>
        <v>Straw board sheathing / VestaEco Straw Boards 280 / 30 mm [EU]</v>
      </c>
      <c r="D128" s="345"/>
      <c r="E128" s="261"/>
      <c r="F128" s="261" t="str">
        <f>VLOOKUP(C128,'Backend (to be hidden)'!$FI$1:$FM$241,5,FALSE)</f>
        <v>m³</v>
      </c>
      <c r="G128" s="267"/>
      <c r="H128" s="346" t="str">
        <f>IF(ISNUMBER(D128),D128*VLOOKUP(C128,'Backend (to be hidden)'!$FI$1:$FL$253,4,FALSE)*-1,"")</f>
        <v/>
      </c>
      <c r="I128" s="150"/>
      <c r="J128" s="6"/>
      <c r="K128" s="6"/>
      <c r="L128" s="6"/>
    </row>
    <row r="129" spans="1:12" ht="25.5" hidden="1" outlineLevel="1">
      <c r="A129" s="28"/>
      <c r="B129" s="260"/>
      <c r="C129" s="564" t="str">
        <f>'Backend (to be hidden)'!FI56</f>
        <v>Straw Insulated Panels with wood framing (SIP) / EcoCocon / Prefabricated panel, 40 cm / R35 [EU]</v>
      </c>
      <c r="D129" s="345"/>
      <c r="E129" s="261"/>
      <c r="F129" s="261" t="str">
        <f>VLOOKUP(C129,'Backend (to be hidden)'!$FI$1:$FM$241,5,FALSE)</f>
        <v>m2</v>
      </c>
      <c r="G129" s="267"/>
      <c r="H129" s="346" t="str">
        <f>IF(ISNUMBER(D129),D129*VLOOKUP(C129,'Backend (to be hidden)'!$FI$1:$FL$253,4,FALSE)*-1,"")</f>
        <v/>
      </c>
      <c r="I129" s="150"/>
      <c r="J129" s="6"/>
      <c r="K129" s="6"/>
      <c r="L129" s="6"/>
    </row>
    <row r="130" spans="1:12" hidden="1" outlineLevel="1">
      <c r="A130" s="28"/>
      <c r="B130" s="260"/>
      <c r="C130" s="564" t="str">
        <f>'Backend (to be hidden)'!FI57</f>
        <v>Wood chip cement ICF / Nexcem, Faswall / 12" R22 block</v>
      </c>
      <c r="D130" s="345"/>
      <c r="E130" s="261"/>
      <c r="F130" s="261" t="str">
        <f>VLOOKUP(C130,'Backend (to be hidden)'!$FI$1:$FM$241,5,FALSE)</f>
        <v>m2</v>
      </c>
      <c r="G130" s="267"/>
      <c r="H130" s="346" t="str">
        <f>IF(ISNUMBER(D130),D130*VLOOKUP(C130,'Backend (to be hidden)'!$FI$1:$FL$253,4,FALSE)*-1,"")</f>
        <v/>
      </c>
      <c r="I130" s="150"/>
      <c r="J130" s="6"/>
      <c r="K130" s="6"/>
      <c r="L130" s="6"/>
    </row>
    <row r="131" spans="1:12" hidden="1" outlineLevel="1">
      <c r="A131" s="28"/>
      <c r="B131" s="260"/>
      <c r="C131" s="564" t="str">
        <f>'Backend (to be hidden)'!FI58</f>
        <v>Wood chip cement ICF / Nexcem, Faswall / 14" R28 block</v>
      </c>
      <c r="D131" s="345"/>
      <c r="E131" s="261"/>
      <c r="F131" s="261" t="str">
        <f>VLOOKUP(C131,'Backend (to be hidden)'!$FI$1:$FM$241,5,FALSE)</f>
        <v>m2</v>
      </c>
      <c r="G131" s="267"/>
      <c r="H131" s="346" t="str">
        <f>IF(ISNUMBER(D131),D131*VLOOKUP(C131,'Backend (to be hidden)'!$FI$1:$FL$253,4,FALSE)*-1,"")</f>
        <v/>
      </c>
      <c r="I131" s="150"/>
      <c r="J131" s="6"/>
      <c r="K131" s="6"/>
      <c r="L131" s="6"/>
    </row>
    <row r="132" spans="1:12" ht="25.5" hidden="1" outlineLevel="1">
      <c r="A132" s="28"/>
      <c r="B132" s="260"/>
      <c r="C132" s="564" t="str">
        <f>'Backend (to be hidden)'!FI59</f>
        <v>Wood chip cement ICF 12" R-21 with Cork Board Inserts (3 in. @ R4/in.), 15M Rebar</v>
      </c>
      <c r="D132" s="345"/>
      <c r="E132" s="261"/>
      <c r="F132" s="261" t="str">
        <f>VLOOKUP(C132,'Backend (to be hidden)'!$FI$1:$FM$241,5,FALSE)</f>
        <v>m2</v>
      </c>
      <c r="G132" s="267"/>
      <c r="H132" s="346" t="str">
        <f>IF(ISNUMBER(D132),D132*VLOOKUP(C132,'Backend (to be hidden)'!$FI$1:$FL$253,4,FALSE)*-1,"")</f>
        <v/>
      </c>
      <c r="I132" s="150"/>
      <c r="J132" s="6"/>
      <c r="K132" s="6"/>
      <c r="L132" s="6"/>
    </row>
    <row r="133" spans="1:12" ht="25.5" hidden="1" outlineLevel="1">
      <c r="A133" s="28"/>
      <c r="B133" s="260"/>
      <c r="C133" s="564" t="str">
        <f>'Backend (to be hidden)'!FI60</f>
        <v>Wood chip cement ICF 12" R-22 with Mineral Wool Inserts, (3 in. @ R4.2/in.), 15M Rebar</v>
      </c>
      <c r="D133" s="345"/>
      <c r="E133" s="261"/>
      <c r="F133" s="261" t="str">
        <f>VLOOKUP(C133,'Backend (to be hidden)'!$FI$1:$FM$241,5,FALSE)</f>
        <v>m2</v>
      </c>
      <c r="G133" s="267"/>
      <c r="H133" s="346" t="str">
        <f>IF(ISNUMBER(D133),D133*VLOOKUP(C133,'Backend (to be hidden)'!$FI$1:$FL$253,4,FALSE)*-1,"")</f>
        <v/>
      </c>
      <c r="I133" s="150"/>
      <c r="J133" s="6"/>
      <c r="K133" s="6"/>
      <c r="L133" s="6"/>
    </row>
    <row r="134" spans="1:12" ht="25.5" hidden="1" outlineLevel="1">
      <c r="A134" s="28"/>
      <c r="B134" s="260"/>
      <c r="C134" s="564" t="str">
        <f>'Backend (to be hidden)'!FI61</f>
        <v>Wood chip cement ICF 14" R-27 with Cork Board Inserts (5 in. @ R4/in.), 15M Rebar</v>
      </c>
      <c r="D134" s="345"/>
      <c r="E134" s="261"/>
      <c r="F134" s="261" t="str">
        <f>VLOOKUP(C134,'Backend (to be hidden)'!$FI$1:$FM$241,5,FALSE)</f>
        <v>m2</v>
      </c>
      <c r="G134" s="267"/>
      <c r="H134" s="346" t="str">
        <f>IF(ISNUMBER(D134),D134*VLOOKUP(C134,'Backend (to be hidden)'!$FI$1:$FL$253,4,FALSE)*-1,"")</f>
        <v/>
      </c>
      <c r="I134" s="150"/>
      <c r="J134" s="6"/>
      <c r="K134" s="6"/>
      <c r="L134" s="6"/>
    </row>
    <row r="135" spans="1:12" ht="25.5" hidden="1" outlineLevel="1">
      <c r="A135" s="28"/>
      <c r="B135" s="260"/>
      <c r="C135" s="564" t="str">
        <f>'Backend (to be hidden)'!FI62</f>
        <v>Wood chip cement ICF 14" R-28 with Mineral Wool Inserts (5 in. @ R4.2/in.), 15M Rebar</v>
      </c>
      <c r="D135" s="345"/>
      <c r="E135" s="261"/>
      <c r="F135" s="261" t="str">
        <f>VLOOKUP(C135,'Backend (to be hidden)'!$FI$1:$FM$241,5,FALSE)</f>
        <v>m2</v>
      </c>
      <c r="G135" s="267"/>
      <c r="H135" s="346" t="str">
        <f>IF(ISNUMBER(D135),D135*VLOOKUP(C135,'Backend (to be hidden)'!$FI$1:$FL$253,4,FALSE)*-1,"")</f>
        <v/>
      </c>
      <c r="I135" s="150"/>
      <c r="J135" s="6"/>
      <c r="K135" s="6"/>
      <c r="L135" s="6"/>
    </row>
    <row r="136" spans="1:12" hidden="1" outlineLevel="1">
      <c r="A136" s="28"/>
      <c r="B136" s="260"/>
      <c r="C136" s="564" t="str">
        <f>'Backend (to be hidden)'!FI63</f>
        <v>Wood cladding / BurntWood / ReUse with linseed oil treatment / 18 mm [EU]</v>
      </c>
      <c r="D136" s="345"/>
      <c r="E136" s="261"/>
      <c r="F136" s="261" t="str">
        <f>VLOOKUP(C136,'Backend (to be hidden)'!$FI$1:$FM$241,5,FALSE)</f>
        <v>m³</v>
      </c>
      <c r="G136" s="267"/>
      <c r="H136" s="346" t="str">
        <f>IF(ISNUMBER(D136),D136*VLOOKUP(C136,'Backend (to be hidden)'!$FI$1:$FL$253,4,FALSE)*-1,"")</f>
        <v/>
      </c>
      <c r="I136" s="150"/>
      <c r="J136" s="6"/>
      <c r="K136" s="6"/>
      <c r="L136" s="6"/>
    </row>
    <row r="137" spans="1:12" hidden="1" outlineLevel="1">
      <c r="A137" s="28"/>
      <c r="B137" s="260"/>
      <c r="C137" s="564" t="str">
        <f>'Backend (to be hidden)'!FI64</f>
        <v>Wood fiber batt / GUTEX / ThermoFlex / R 4-inch [EU]</v>
      </c>
      <c r="D137" s="345"/>
      <c r="E137" s="261"/>
      <c r="F137" s="261" t="str">
        <f>VLOOKUP(C137,'Backend (to be hidden)'!$FI$1:$FM$241,5,FALSE)</f>
        <v>m³</v>
      </c>
      <c r="G137" s="267"/>
      <c r="H137" s="346" t="str">
        <f>IF(ISNUMBER(D137),D137*VLOOKUP(C137,'Backend (to be hidden)'!$FI$1:$FL$253,4,FALSE)*-1,"")</f>
        <v/>
      </c>
      <c r="I137" s="150"/>
      <c r="J137" s="6"/>
      <c r="K137" s="6"/>
      <c r="L137" s="6"/>
    </row>
    <row r="138" spans="1:12" hidden="1" outlineLevel="1">
      <c r="A138" s="28"/>
      <c r="B138" s="260"/>
      <c r="C138" s="564" t="str">
        <f>'Backend (to be hidden)'!FI65</f>
        <v>Wood fiber batt / Steico / SteicoFlex / R 3.8-inch [EU]</v>
      </c>
      <c r="D138" s="345"/>
      <c r="E138" s="261"/>
      <c r="F138" s="261" t="str">
        <f>VLOOKUP(C138,'Backend (to be hidden)'!$FI$1:$FM$241,5,FALSE)</f>
        <v>m³</v>
      </c>
      <c r="G138" s="267"/>
      <c r="H138" s="346" t="str">
        <f>IF(ISNUMBER(D138),D138*VLOOKUP(C138,'Backend (to be hidden)'!$FI$1:$FL$253,4,FALSE)*-1,"")</f>
        <v/>
      </c>
      <c r="I138" s="150"/>
      <c r="J138" s="6"/>
      <c r="K138" s="6"/>
      <c r="L138" s="6"/>
    </row>
    <row r="139" spans="1:12" hidden="1" outlineLevel="1">
      <c r="A139" s="28"/>
      <c r="B139" s="260"/>
      <c r="C139" s="564" t="str">
        <f>'Backend (to be hidden)'!FI66</f>
        <v>Wood fiber board / GUTEX / Multi-Therm / R 3.6-inch, 40-200 mm [EU]</v>
      </c>
      <c r="D139" s="345"/>
      <c r="E139" s="261"/>
      <c r="F139" s="261" t="str">
        <f>VLOOKUP(C139,'Backend (to be hidden)'!$FI$1:$FM$241,5,FALSE)</f>
        <v>m³</v>
      </c>
      <c r="G139" s="267"/>
      <c r="H139" s="346" t="str">
        <f>IF(ISNUMBER(D139),D139*VLOOKUP(C139,'Backend (to be hidden)'!$FI$1:$FL$253,4,FALSE)*-1,"")</f>
        <v/>
      </c>
      <c r="I139" s="150"/>
      <c r="J139" s="6"/>
      <c r="K139" s="6"/>
      <c r="L139" s="6"/>
    </row>
    <row r="140" spans="1:12" ht="25.5" hidden="1" outlineLevel="1">
      <c r="A140" s="28"/>
      <c r="B140" s="260"/>
      <c r="C140" s="564" t="str">
        <f>'Backend (to be hidden)'!FI67</f>
        <v>Wood fiber board / Pavatex / Isolair, Isoroof, Isolair Multi / R 3.3-inch / 200 kg/m3, 30-80 mm [EU]</v>
      </c>
      <c r="D140" s="345"/>
      <c r="E140" s="261"/>
      <c r="F140" s="261" t="str">
        <f>VLOOKUP(C140,'Backend (to be hidden)'!$FI$1:$FM$241,5,FALSE)</f>
        <v>m³</v>
      </c>
      <c r="G140" s="267"/>
      <c r="H140" s="346" t="str">
        <f>IF(ISNUMBER(D140),D140*VLOOKUP(C140,'Backend (to be hidden)'!$FI$1:$FL$253,4,FALSE)*-1,"")</f>
        <v/>
      </c>
      <c r="I140" s="150"/>
      <c r="J140" s="6"/>
      <c r="K140" s="6"/>
      <c r="L140" s="6"/>
    </row>
    <row r="141" spans="1:12" hidden="1" outlineLevel="1">
      <c r="A141" s="28"/>
      <c r="B141" s="260"/>
      <c r="C141" s="564" t="str">
        <f>'Backend (to be hidden)'!FI68</f>
        <v>Wood fiber board / Pavatex / Pavatherm / R 3.3-inch / 110 kg/m3 [EU]</v>
      </c>
      <c r="D141" s="345"/>
      <c r="E141" s="261"/>
      <c r="F141" s="261" t="str">
        <f>VLOOKUP(C141,'Backend (to be hidden)'!$FI$1:$FM$241,5,FALSE)</f>
        <v>m³</v>
      </c>
      <c r="G141" s="267"/>
      <c r="H141" s="346" t="str">
        <f>IF(ISNUMBER(D141),D141*VLOOKUP(C141,'Backend (to be hidden)'!$FI$1:$FL$253,4,FALSE)*-1,"")</f>
        <v/>
      </c>
      <c r="I141" s="150"/>
      <c r="J141" s="6"/>
      <c r="K141" s="6"/>
      <c r="L141" s="6"/>
    </row>
    <row r="142" spans="1:12" ht="25.5" hidden="1" outlineLevel="1">
      <c r="A142" s="28"/>
      <c r="B142" s="260"/>
      <c r="C142" s="564" t="str">
        <f>'Backend (to be hidden)'!FI69</f>
        <v>Wood fiber board / Pavatex / Pavawall GF, Pavawall Bloc, Pavawall GF XL / R 3.3-inch / 130 kg/m3 [EU]</v>
      </c>
      <c r="D142" s="345"/>
      <c r="E142" s="261"/>
      <c r="F142" s="261" t="str">
        <f>VLOOKUP(C142,'Backend (to be hidden)'!$FI$1:$FM$241,5,FALSE)</f>
        <v>m³</v>
      </c>
      <c r="G142" s="267"/>
      <c r="H142" s="346" t="str">
        <f>IF(ISNUMBER(D142),D142*VLOOKUP(C142,'Backend (to be hidden)'!$FI$1:$FL$253,4,FALSE)*-1,"")</f>
        <v/>
      </c>
      <c r="I142" s="150"/>
      <c r="J142" s="6"/>
      <c r="K142" s="6"/>
      <c r="L142" s="6"/>
    </row>
    <row r="143" spans="1:12" ht="25.5" hidden="1" outlineLevel="1">
      <c r="A143" s="28"/>
      <c r="B143" s="260"/>
      <c r="C143" s="564" t="str">
        <f>'Backend (to be hidden)'!FI70</f>
        <v>Wood fiber board / Pavatex / Pavawall Smart, Pavawall Light, Pavawall FW / R 3.3-inch / 115 kg/m3 [EU]</v>
      </c>
      <c r="D143" s="345"/>
      <c r="E143" s="261"/>
      <c r="F143" s="261" t="str">
        <f>VLOOKUP(C143,'Backend (to be hidden)'!$FI$1:$FM$241,5,FALSE)</f>
        <v>m³</v>
      </c>
      <c r="G143" s="267"/>
      <c r="H143" s="346" t="str">
        <f>IF(ISNUMBER(D143),D143*VLOOKUP(C143,'Backend (to be hidden)'!$FI$1:$FL$253,4,FALSE)*-1,"")</f>
        <v/>
      </c>
      <c r="I143" s="150"/>
      <c r="J143" s="6"/>
      <c r="K143" s="6"/>
      <c r="L143" s="6"/>
    </row>
    <row r="144" spans="1:12" ht="25.5" hidden="1" outlineLevel="1">
      <c r="A144" s="28"/>
      <c r="B144" s="260"/>
      <c r="C144" s="564" t="str">
        <f>'Backend (to be hidden)'!FI71</f>
        <v>Wood fiber board / Steico / STEICOprotect M dry, STEICOroof dry, STEICOspecial dry, STEICOtop / R 3.6-inch, 140 kg/m3 [EU]</v>
      </c>
      <c r="D144" s="345"/>
      <c r="E144" s="261"/>
      <c r="F144" s="261" t="str">
        <f>VLOOKUP(C144,'Backend (to be hidden)'!$FI$1:$FM$241,5,FALSE)</f>
        <v>m³</v>
      </c>
      <c r="G144" s="267"/>
      <c r="H144" s="346" t="str">
        <f>IF(ISNUMBER(D144),D144*VLOOKUP(C144,'Backend (to be hidden)'!$FI$1:$FL$253,4,FALSE)*-1,"")</f>
        <v/>
      </c>
      <c r="I144" s="150"/>
      <c r="J144" s="6"/>
      <c r="K144" s="6"/>
      <c r="L144" s="6"/>
    </row>
    <row r="145" spans="1:12" ht="25.5" hidden="1" outlineLevel="1">
      <c r="A145" s="28"/>
      <c r="B145" s="260"/>
      <c r="C145" s="564" t="str">
        <f>'Backend (to be hidden)'!FI72</f>
        <v>Wood fiber board / Steico / STEICOprotect S dry, STEICOsafe 40, STEICOuniversal dry / R 3.6-inch, 210 kg/m3 [EU]</v>
      </c>
      <c r="D145" s="345"/>
      <c r="E145" s="261"/>
      <c r="F145" s="261" t="str">
        <f>VLOOKUP(C145,'Backend (to be hidden)'!$FI$1:$FM$241,5,FALSE)</f>
        <v>m³</v>
      </c>
      <c r="G145" s="267"/>
      <c r="H145" s="346" t="str">
        <f>IF(ISNUMBER(D145),D145*VLOOKUP(C145,'Backend (to be hidden)'!$FI$1:$FL$253,4,FALSE)*-1,"")</f>
        <v/>
      </c>
      <c r="I145" s="150"/>
      <c r="J145" s="6"/>
      <c r="K145" s="6"/>
      <c r="L145" s="6"/>
    </row>
    <row r="146" spans="1:12" ht="25.5" hidden="1" outlineLevel="1">
      <c r="A146" s="28"/>
      <c r="B146" s="260"/>
      <c r="C146" s="564" t="str">
        <f>'Backend (to be hidden)'!FI73</f>
        <v>Wood fiber board / Steico / STEICOtherm dry, STEICOprotect L dry, STEICOsafe / R 3.6-inch, 110 kg/m3 [EU]</v>
      </c>
      <c r="D146" s="345"/>
      <c r="E146" s="261"/>
      <c r="F146" s="261" t="str">
        <f>VLOOKUP(C146,'Backend (to be hidden)'!$FI$1:$FM$241,5,FALSE)</f>
        <v>m³</v>
      </c>
      <c r="G146" s="267"/>
      <c r="H146" s="346" t="str">
        <f>IF(ISNUMBER(D146),D146*VLOOKUP(C146,'Backend (to be hidden)'!$FI$1:$FL$253,4,FALSE)*-1,"")</f>
        <v/>
      </c>
      <c r="I146" s="150"/>
      <c r="J146" s="6"/>
      <c r="K146" s="6"/>
      <c r="L146" s="6"/>
    </row>
    <row r="147" spans="1:12" hidden="1" outlineLevel="1">
      <c r="A147" s="28"/>
      <c r="B147" s="260"/>
      <c r="C147" s="564" t="str">
        <f>'Backend (to be hidden)'!FI74</f>
        <v>Wood fiber loose fill / GUTEX / ThermoFiber / R 3.8-inch [EU]</v>
      </c>
      <c r="D147" s="345"/>
      <c r="E147" s="261"/>
      <c r="F147" s="261" t="str">
        <f>VLOOKUP(C147,'Backend (to be hidden)'!$FI$1:$FM$241,5,FALSE)</f>
        <v>m³</v>
      </c>
      <c r="G147" s="267"/>
      <c r="H147" s="346" t="str">
        <f>IF(ISNUMBER(D147),D147*VLOOKUP(C147,'Backend (to be hidden)'!$FI$1:$FL$253,4,FALSE)*-1,"")</f>
        <v/>
      </c>
      <c r="I147" s="150"/>
      <c r="J147" s="6"/>
      <c r="K147" s="6"/>
      <c r="L147" s="6"/>
    </row>
    <row r="148" spans="1:12" hidden="1" outlineLevel="1">
      <c r="A148" s="28"/>
      <c r="B148" s="260"/>
      <c r="C148" s="564" t="str">
        <f>'Backend (to be hidden)'!FI75</f>
        <v xml:space="preserve">Wood wool boards / Armstrong / Tectum ceiling &amp; wall boards / 2" </v>
      </c>
      <c r="D148" s="345"/>
      <c r="E148" s="261"/>
      <c r="F148" s="261" t="str">
        <f>VLOOKUP(C148,'Backend (to be hidden)'!$FI$1:$FM$241,5,FALSE)</f>
        <v>m³</v>
      </c>
      <c r="G148" s="267"/>
      <c r="H148" s="346" t="str">
        <f>IF(ISNUMBER(D148),D148*VLOOKUP(C148,'Backend (to be hidden)'!$FI$1:$FL$253,4,FALSE)*-1,"")</f>
        <v/>
      </c>
      <c r="I148" s="150"/>
      <c r="J148" s="6"/>
      <c r="K148" s="6"/>
      <c r="L148" s="6"/>
    </row>
    <row r="149" spans="1:12" hidden="1" outlineLevel="1">
      <c r="A149" s="28"/>
      <c r="B149" s="260"/>
      <c r="C149" s="564" t="str">
        <f>'Backend (to be hidden)'!FI76</f>
        <v>Wool batt / Havelock Wool / Batts / R 3.6-inch</v>
      </c>
      <c r="D149" s="345"/>
      <c r="E149" s="261"/>
      <c r="F149" s="261" t="str">
        <f>VLOOKUP(C149,'Backend (to be hidden)'!$FI$1:$FM$241,5,FALSE)</f>
        <v>m³</v>
      </c>
      <c r="G149" s="267"/>
      <c r="H149" s="346" t="str">
        <f>IF(ISNUMBER(D149),D149*VLOOKUP(C149,'Backend (to be hidden)'!$FI$1:$FL$253,4,FALSE)*-1,"")</f>
        <v/>
      </c>
      <c r="I149" s="150"/>
      <c r="J149" s="6"/>
      <c r="K149" s="6"/>
      <c r="L149" s="6"/>
    </row>
    <row r="150" spans="1:12" hidden="1" outlineLevel="1">
      <c r="A150" s="28"/>
      <c r="B150" s="260"/>
      <c r="C150" s="564" t="str">
        <f>'Backend (to be hidden)'!FI77</f>
        <v>Wool batt / ISOLENA / Optimal batt / 5.5 inch / R 3.8-inch [EU]</v>
      </c>
      <c r="D150" s="345"/>
      <c r="E150" s="261"/>
      <c r="F150" s="261" t="str">
        <f>VLOOKUP(C150,'Backend (to be hidden)'!$FI$1:$FM$241,5,FALSE)</f>
        <v>m³</v>
      </c>
      <c r="G150" s="267"/>
      <c r="H150" s="346" t="str">
        <f>IF(ISNUMBER(D150),D150*VLOOKUP(C150,'Backend (to be hidden)'!$FI$1:$FL$253,4,FALSE)*-1,"")</f>
        <v/>
      </c>
      <c r="I150" s="150"/>
      <c r="J150" s="6"/>
      <c r="K150" s="6"/>
      <c r="L150" s="6"/>
    </row>
    <row r="151" spans="1:12" hidden="1" outlineLevel="1">
      <c r="A151" s="28"/>
      <c r="B151" s="260"/>
      <c r="C151" s="564" t="str">
        <f>'Backend (to be hidden)'!FI78</f>
        <v>Wool batt / Thermafleece / Cosywool Roll / R3.7-inch [EU]</v>
      </c>
      <c r="D151" s="345"/>
      <c r="E151" s="261"/>
      <c r="F151" s="261" t="str">
        <f>VLOOKUP(C151,'Backend (to be hidden)'!$FI$1:$FM$241,5,FALSE)</f>
        <v>m³</v>
      </c>
      <c r="G151" s="267"/>
      <c r="H151" s="346" t="str">
        <f>IF(ISNUMBER(D151),D151*VLOOKUP(C151,'Backend (to be hidden)'!$FI$1:$FL$253,4,FALSE)*-1,"")</f>
        <v/>
      </c>
      <c r="I151" s="150"/>
      <c r="J151" s="6"/>
      <c r="K151" s="6"/>
      <c r="L151" s="6"/>
    </row>
    <row r="152" spans="1:12" hidden="1" outlineLevel="1">
      <c r="A152" s="28"/>
      <c r="B152" s="260"/>
      <c r="C152" s="564" t="str">
        <f>'Backend (to be hidden)'!FI79</f>
        <v>Wool batt / Thermafleece / Cosywool Slab / R3.8-inch [EU]</v>
      </c>
      <c r="D152" s="345"/>
      <c r="E152" s="261"/>
      <c r="F152" s="261" t="str">
        <f>VLOOKUP(C152,'Backend (to be hidden)'!$FI$1:$FM$241,5,FALSE)</f>
        <v>m³</v>
      </c>
      <c r="G152" s="267"/>
      <c r="H152" s="346" t="str">
        <f>IF(ISNUMBER(D152),D152*VLOOKUP(C152,'Backend (to be hidden)'!$FI$1:$FL$253,4,FALSE)*-1,"")</f>
        <v/>
      </c>
      <c r="I152" s="150"/>
      <c r="J152" s="6"/>
      <c r="K152" s="6"/>
      <c r="L152" s="6"/>
    </row>
    <row r="153" spans="1:12" hidden="1" outlineLevel="1">
      <c r="A153" s="28"/>
      <c r="B153" s="260"/>
      <c r="C153" s="564" t="str">
        <f>'Backend (to be hidden)'!FI80</f>
        <v>Wool batt / Thermafleece / UltraWool Slab / R4.1-inch [EU]</v>
      </c>
      <c r="D153" s="345"/>
      <c r="E153" s="261"/>
      <c r="F153" s="261" t="str">
        <f>VLOOKUP(C153,'Backend (to be hidden)'!$FI$1:$FM$241,5,FALSE)</f>
        <v>m³</v>
      </c>
      <c r="G153" s="267"/>
      <c r="H153" s="346" t="str">
        <f>IF(ISNUMBER(D153),D153*VLOOKUP(C153,'Backend (to be hidden)'!$FI$1:$FL$253,4,FALSE)*-1,"")</f>
        <v/>
      </c>
      <c r="I153" s="150"/>
      <c r="J153" s="6"/>
      <c r="K153" s="6"/>
      <c r="L153" s="6"/>
    </row>
    <row r="154" spans="1:12" hidden="1" outlineLevel="1">
      <c r="A154" s="28"/>
      <c r="B154" s="260"/>
      <c r="C154" s="564" t="str">
        <f>'Backend (to be hidden)'!FI81</f>
        <v>Wool Loose-fill / Havelock Wool / Loose-fill / R 4.4-inch</v>
      </c>
      <c r="D154" s="345"/>
      <c r="E154" s="261"/>
      <c r="F154" s="261" t="str">
        <f>VLOOKUP(C154,'Backend (to be hidden)'!$FI$1:$FM$241,5,FALSE)</f>
        <v>m³</v>
      </c>
      <c r="G154" s="267"/>
      <c r="H154" s="346" t="str">
        <f>IF(ISNUMBER(D154),D154*VLOOKUP(C154,'Backend (to be hidden)'!$FI$1:$FL$253,4,FALSE)*-1,"")</f>
        <v/>
      </c>
      <c r="I154" s="150"/>
      <c r="J154" s="6"/>
      <c r="K154" s="6"/>
      <c r="L154" s="6"/>
    </row>
    <row r="155" spans="1:12" hidden="1" outlineLevel="1">
      <c r="A155" s="28"/>
      <c r="B155" s="260"/>
      <c r="C155" s="572" t="str">
        <f>'Backend (to be hidden)'!FI82</f>
        <v>Interiors New Materials</v>
      </c>
      <c r="D155" s="268"/>
      <c r="E155" s="257"/>
      <c r="F155" s="257"/>
      <c r="G155" s="268"/>
      <c r="H155" s="268"/>
      <c r="I155" s="150"/>
      <c r="J155" s="6"/>
      <c r="K155" s="6"/>
      <c r="L155" s="6"/>
    </row>
    <row r="156" spans="1:12" hidden="1" outlineLevel="1">
      <c r="A156" s="28"/>
      <c r="B156" s="260"/>
      <c r="C156" s="564" t="str">
        <f>'Backend (to be hidden)'!FI83</f>
        <v>Carpet / Interface / CQUEST BioX / 1.5 mm Modular tile carpet</v>
      </c>
      <c r="D156" s="345"/>
      <c r="E156" s="261"/>
      <c r="F156" s="261" t="str">
        <f>VLOOKUP(C156,'Backend (to be hidden)'!$FI$1:$FM$241,5,FALSE)</f>
        <v>m³</v>
      </c>
      <c r="G156" s="267"/>
      <c r="H156" s="346" t="str">
        <f>IF(ISNUMBER(D156),D156*VLOOKUP(C156,'Backend (to be hidden)'!$FI$1:$FL$253,4,FALSE)*-1,"")</f>
        <v/>
      </c>
      <c r="I156" s="150"/>
      <c r="J156" s="6"/>
      <c r="K156" s="6"/>
      <c r="L156" s="6"/>
    </row>
    <row r="157" spans="1:12" ht="25.5" hidden="1" outlineLevel="1">
      <c r="A157" s="28"/>
      <c r="B157" s="260"/>
      <c r="C157" s="564" t="str">
        <f>'Backend (to be hidden)'!FI84</f>
        <v>Cork flooring / Amorim /  Revestimentos S.A. / Cork floating floor planks / 6 mm [EU]</v>
      </c>
      <c r="D157" s="345"/>
      <c r="E157" s="261"/>
      <c r="F157" s="261" t="str">
        <f>VLOOKUP(C157,'Backend (to be hidden)'!$FI$1:$FM$241,5,FALSE)</f>
        <v>m³</v>
      </c>
      <c r="G157" s="267"/>
      <c r="H157" s="346" t="str">
        <f>IF(ISNUMBER(D157),D157*VLOOKUP(C157,'Backend (to be hidden)'!$FI$1:$FL$253,4,FALSE)*-1,"")</f>
        <v/>
      </c>
      <c r="I157" s="150"/>
      <c r="J157" s="6"/>
      <c r="K157" s="6"/>
      <c r="L157" s="6"/>
    </row>
    <row r="158" spans="1:12" ht="25.5" hidden="1" outlineLevel="1">
      <c r="A158" s="28"/>
      <c r="B158" s="260"/>
      <c r="C158" s="564" t="str">
        <f>'Backend (to be hidden)'!FI85</f>
        <v>Eelgrass accoustic board / Søuld ApS / Søuld Acoustic Mats / Flame retardant, NRC 0.90 [EU]</v>
      </c>
      <c r="D158" s="345"/>
      <c r="E158" s="261"/>
      <c r="F158" s="261" t="str">
        <f>VLOOKUP(C158,'Backend (to be hidden)'!$FI$1:$FM$241,5,FALSE)</f>
        <v>m2</v>
      </c>
      <c r="G158" s="267"/>
      <c r="H158" s="346" t="str">
        <f>IF(ISNUMBER(D158),D158*VLOOKUP(C158,'Backend (to be hidden)'!$FI$1:$FL$253,4,FALSE)*-1,"")</f>
        <v/>
      </c>
      <c r="I158" s="150"/>
      <c r="J158" s="6"/>
      <c r="K158" s="6"/>
      <c r="L158" s="6"/>
    </row>
    <row r="159" spans="1:12" ht="25.5" hidden="1" outlineLevel="1">
      <c r="A159" s="28"/>
      <c r="B159" s="260"/>
      <c r="C159" s="564" t="str">
        <f>'Backend (to be hidden)'!FI86</f>
        <v>Hard Bamboo flooring / MOSO / Purebamboo, Topbamboo, Bamboo Supreme, UltraDensity / 9/16" (15mm), High Density</v>
      </c>
      <c r="D159" s="345"/>
      <c r="E159" s="261"/>
      <c r="F159" s="261" t="str">
        <f>VLOOKUP(C159,'Backend (to be hidden)'!$FI$1:$FM$241,5,FALSE)</f>
        <v>m³</v>
      </c>
      <c r="G159" s="267"/>
      <c r="H159" s="346" t="str">
        <f>IF(ISNUMBER(D159),D159*VLOOKUP(C159,'Backend (to be hidden)'!$FI$1:$FL$253,4,FALSE)*-1,"")</f>
        <v/>
      </c>
      <c r="I159" s="150"/>
      <c r="J159" s="6"/>
      <c r="K159" s="6"/>
      <c r="L159" s="6"/>
    </row>
    <row r="160" spans="1:12" hidden="1" outlineLevel="1">
      <c r="A160" s="28"/>
      <c r="B160" s="260"/>
      <c r="C160" s="564" t="str">
        <f>'Backend (to be hidden)'!FI87</f>
        <v>Hard Bamboo flooring / MOSO / Solid &amp; Supra Collection / 20mm, High Density</v>
      </c>
      <c r="D160" s="345"/>
      <c r="E160" s="261"/>
      <c r="F160" s="261" t="str">
        <f>VLOOKUP(C160,'Backend (to be hidden)'!$FI$1:$FM$241,5,FALSE)</f>
        <v>m³</v>
      </c>
      <c r="G160" s="267"/>
      <c r="H160" s="346" t="str">
        <f>IF(ISNUMBER(D160),D160*VLOOKUP(C160,'Backend (to be hidden)'!$FI$1:$FL$253,4,FALSE)*-1,"")</f>
        <v/>
      </c>
      <c r="I160" s="150"/>
      <c r="J160" s="6"/>
      <c r="K160" s="6"/>
      <c r="L160" s="6"/>
    </row>
    <row r="161" spans="1:12" ht="25.5" hidden="1" outlineLevel="1">
      <c r="A161" s="28"/>
      <c r="B161" s="260"/>
      <c r="C161" s="564" t="str">
        <f>'Backend (to be hidden)'!FI88</f>
        <v>Laminated Bamboo flooring / MOSO / Bamboo Elite &amp; Elite Premium, Industriale /  9/16" (15mm)</v>
      </c>
      <c r="D161" s="345"/>
      <c r="E161" s="261"/>
      <c r="F161" s="261" t="str">
        <f>VLOOKUP(C161,'Backend (to be hidden)'!$FI$1:$FM$241,5,FALSE)</f>
        <v>m³</v>
      </c>
      <c r="G161" s="267"/>
      <c r="H161" s="346" t="str">
        <f>IF(ISNUMBER(D161),D161*VLOOKUP(C161,'Backend (to be hidden)'!$FI$1:$FL$253,4,FALSE)*-1,"")</f>
        <v/>
      </c>
      <c r="I161" s="150"/>
      <c r="J161" s="6"/>
      <c r="K161" s="6"/>
      <c r="L161" s="6"/>
    </row>
    <row r="162" spans="1:12" hidden="1" outlineLevel="1">
      <c r="A162" s="28"/>
      <c r="B162" s="260"/>
      <c r="C162" s="564" t="str">
        <f>'Backend (to be hidden)'!FI89</f>
        <v>Linoleum flooring / Forbo / Marmoleum / 2.0 mm sheet style linoleum</v>
      </c>
      <c r="D162" s="345"/>
      <c r="E162" s="261"/>
      <c r="F162" s="261" t="str">
        <f>VLOOKUP(C162,'Backend (to be hidden)'!$FI$1:$FM$241,5,FALSE)</f>
        <v>m³</v>
      </c>
      <c r="G162" s="267"/>
      <c r="H162" s="346" t="str">
        <f>IF(ISNUMBER(D162),D162*VLOOKUP(C162,'Backend (to be hidden)'!$FI$1:$FL$253,4,FALSE)*-1,"")</f>
        <v/>
      </c>
      <c r="I162" s="150"/>
      <c r="J162" s="6"/>
      <c r="K162" s="6"/>
      <c r="L162" s="6"/>
    </row>
    <row r="163" spans="1:12" hidden="1" outlineLevel="1">
      <c r="A163" s="28"/>
      <c r="B163" s="260"/>
      <c r="C163" s="564" t="str">
        <f>'Backend (to be hidden)'!FI90</f>
        <v>Linoleum flooring / Forbo / Marmoleum / 2.5 mm sheet style linoleum</v>
      </c>
      <c r="D163" s="345"/>
      <c r="E163" s="261"/>
      <c r="F163" s="261" t="str">
        <f>VLOOKUP(C163,'Backend (to be hidden)'!$FI$1:$FM$241,5,FALSE)</f>
        <v>m³</v>
      </c>
      <c r="G163" s="267"/>
      <c r="H163" s="346" t="str">
        <f>IF(ISNUMBER(D163),D163*VLOOKUP(C163,'Backend (to be hidden)'!$FI$1:$FL$253,4,FALSE)*-1,"")</f>
        <v/>
      </c>
      <c r="I163" s="150"/>
      <c r="J163" s="6"/>
      <c r="K163" s="6"/>
      <c r="L163" s="6"/>
    </row>
    <row r="164" spans="1:12" ht="25.5" hidden="1" outlineLevel="1">
      <c r="A164" s="28"/>
      <c r="B164" s="260"/>
      <c r="C164" s="564" t="str">
        <f>'Backend (to be hidden)'!FI91</f>
        <v>Linoleum flooring / Gerflor  / DLW Linoleum Acousticplus / 4.0 mm sheet style linoleum with Neocare backing</v>
      </c>
      <c r="D164" s="345"/>
      <c r="E164" s="261"/>
      <c r="F164" s="261" t="str">
        <f>VLOOKUP(C164,'Backend (to be hidden)'!$FI$1:$FM$241,5,FALSE)</f>
        <v>m³</v>
      </c>
      <c r="G164" s="267"/>
      <c r="H164" s="346" t="str">
        <f>IF(ISNUMBER(D164),D164*VLOOKUP(C164,'Backend (to be hidden)'!$FI$1:$FL$253,4,FALSE)*-1,"")</f>
        <v/>
      </c>
      <c r="I164" s="150"/>
      <c r="J164" s="6"/>
      <c r="K164" s="6"/>
      <c r="L164" s="6"/>
    </row>
    <row r="165" spans="1:12" hidden="1" outlineLevel="1">
      <c r="A165" s="28"/>
      <c r="B165" s="260"/>
      <c r="C165" s="564" t="str">
        <f>'Backend (to be hidden)'!FI92</f>
        <v>Linoleum flooring / Gerflor  / DLW Linoleum Compact / 2.5 mm sheet style linoleum</v>
      </c>
      <c r="D165" s="345"/>
      <c r="E165" s="261"/>
      <c r="F165" s="261" t="str">
        <f>VLOOKUP(C165,'Backend (to be hidden)'!$FI$1:$FM$241,5,FALSE)</f>
        <v>m³</v>
      </c>
      <c r="G165" s="267"/>
      <c r="H165" s="346" t="str">
        <f>IF(ISNUMBER(D165),D165*VLOOKUP(C165,'Backend (to be hidden)'!$FI$1:$FL$253,4,FALSE)*-1,"")</f>
        <v/>
      </c>
      <c r="I165" s="150"/>
      <c r="J165" s="6"/>
      <c r="K165" s="6"/>
      <c r="L165" s="6"/>
    </row>
    <row r="166" spans="1:12" hidden="1" outlineLevel="1">
      <c r="A166" s="28"/>
      <c r="B166" s="260"/>
      <c r="C166" s="564" t="str">
        <f>'Backend (to be hidden)'!FI93</f>
        <v>Linoleum flooring / Mannington / Legato Flooring / 2.2 liquid applied</v>
      </c>
      <c r="D166" s="345"/>
      <c r="E166" s="261"/>
      <c r="F166" s="261" t="str">
        <f>VLOOKUP(C166,'Backend (to be hidden)'!$FI$1:$FM$241,5,FALSE)</f>
        <v>m³</v>
      </c>
      <c r="G166" s="267"/>
      <c r="H166" s="346" t="str">
        <f>IF(ISNUMBER(D166),D166*VLOOKUP(C166,'Backend (to be hidden)'!$FI$1:$FL$253,4,FALSE)*-1,"")</f>
        <v/>
      </c>
      <c r="I166" s="150"/>
      <c r="J166" s="6"/>
      <c r="K166" s="6"/>
      <c r="L166" s="6"/>
    </row>
    <row r="167" spans="1:12" ht="25.5" hidden="1" outlineLevel="1">
      <c r="A167" s="28"/>
      <c r="B167" s="260"/>
      <c r="C167" s="564" t="str">
        <f>'Backend (to be hidden)'!FI94</f>
        <v>Linoleum flooring / Tarkett  / Lino Acoustic / 3.8 mm sheet style linoleum with polyurethane foam backing</v>
      </c>
      <c r="D167" s="345"/>
      <c r="E167" s="261"/>
      <c r="F167" s="261" t="str">
        <f>VLOOKUP(C167,'Backend (to be hidden)'!$FI$1:$FM$241,5,FALSE)</f>
        <v>m³</v>
      </c>
      <c r="G167" s="267"/>
      <c r="H167" s="346" t="str">
        <f>IF(ISNUMBER(D167),D167*VLOOKUP(C167,'Backend (to be hidden)'!$FI$1:$FL$253,4,FALSE)*-1,"")</f>
        <v/>
      </c>
      <c r="I167" s="150"/>
      <c r="J167" s="6"/>
      <c r="K167" s="6"/>
      <c r="L167" s="6"/>
    </row>
    <row r="168" spans="1:12" ht="25.5" hidden="1" outlineLevel="1">
      <c r="A168" s="28"/>
      <c r="B168" s="260"/>
      <c r="C168" s="564" t="str">
        <f>'Backend (to be hidden)'!FI95</f>
        <v>Linoleum flooring / Tarkett  / Lino Veneto xf2, Etrusco, Style Elle|Emme, Veneto, Originale, LinoRail, Linosport / 2.5 mm sheet style linoleum</v>
      </c>
      <c r="D168" s="345"/>
      <c r="E168" s="261"/>
      <c r="F168" s="261" t="str">
        <f>VLOOKUP(C168,'Backend (to be hidden)'!$FI$1:$FM$241,5,FALSE)</f>
        <v>m³</v>
      </c>
      <c r="G168" s="267"/>
      <c r="H168" s="346" t="str">
        <f>IF(ISNUMBER(D168),D168*VLOOKUP(C168,'Backend (to be hidden)'!$FI$1:$FL$253,4,FALSE)*-1,"")</f>
        <v/>
      </c>
      <c r="I168" s="150"/>
      <c r="J168" s="6"/>
      <c r="K168" s="6"/>
      <c r="L168" s="6"/>
    </row>
    <row r="169" spans="1:12" ht="25.5" hidden="1" outlineLevel="1">
      <c r="A169" s="28"/>
      <c r="B169" s="260"/>
      <c r="C169" s="564" t="str">
        <f>'Backend (to be hidden)'!FI96</f>
        <v>Linoleum flooring / Tarkett  / Veneto Acoustic Cork / 4.4 mm sheet style linoleum with cork backing</v>
      </c>
      <c r="D169" s="345"/>
      <c r="E169" s="261"/>
      <c r="F169" s="261" t="str">
        <f>VLOOKUP(C169,'Backend (to be hidden)'!$FI$1:$FM$241,5,FALSE)</f>
        <v>m³</v>
      </c>
      <c r="G169" s="267"/>
      <c r="H169" s="346" t="str">
        <f>IF(ISNUMBER(D169),D169*VLOOKUP(C169,'Backend (to be hidden)'!$FI$1:$FL$253,4,FALSE)*-1,"")</f>
        <v/>
      </c>
      <c r="I169" s="150"/>
      <c r="J169" s="6"/>
      <c r="K169" s="6"/>
      <c r="L169" s="6"/>
    </row>
    <row r="170" spans="1:12" hidden="1" outlineLevel="1">
      <c r="A170" s="28"/>
      <c r="B170" s="260"/>
      <c r="C170" s="564" t="str">
        <f>'Backend (to be hidden)'!FI97</f>
        <v>Straw board partition wall / Durra Panel / Durra Wall Panels / 50 mm [AUS]</v>
      </c>
      <c r="D170" s="345"/>
      <c r="E170" s="261"/>
      <c r="F170" s="261" t="str">
        <f>VLOOKUP(C170,'Backend (to be hidden)'!$FI$1:$FM$241,5,FALSE)</f>
        <v>m³</v>
      </c>
      <c r="G170" s="267"/>
      <c r="H170" s="346" t="str">
        <f>IF(ISNUMBER(D170),D170*VLOOKUP(C170,'Backend (to be hidden)'!$FI$1:$FL$253,4,FALSE)*-1,"")</f>
        <v/>
      </c>
      <c r="I170" s="150"/>
      <c r="J170" s="6"/>
      <c r="K170" s="6"/>
      <c r="L170" s="6"/>
    </row>
    <row r="171" spans="1:12" hidden="1" outlineLevel="1">
      <c r="A171" s="28"/>
      <c r="B171" s="260"/>
      <c r="C171" s="564" t="str">
        <f>'Backend (to be hidden)'!FI98</f>
        <v>Straw board partition wall / Ekopanely / Ekopanel E60-1200 / 60 mm  [EU]</v>
      </c>
      <c r="D171" s="345"/>
      <c r="E171" s="261"/>
      <c r="F171" s="261" t="str">
        <f>VLOOKUP(C171,'Backend (to be hidden)'!$FI$1:$FM$241,5,FALSE)</f>
        <v>m³</v>
      </c>
      <c r="G171" s="267"/>
      <c r="H171" s="346" t="str">
        <f>IF(ISNUMBER(D171),D171*VLOOKUP(C171,'Backend (to be hidden)'!$FI$1:$FL$253,4,FALSE)*-1,"")</f>
        <v/>
      </c>
      <c r="I171" s="150"/>
      <c r="J171" s="6"/>
      <c r="K171" s="6"/>
      <c r="L171" s="6"/>
    </row>
    <row r="172" spans="1:12" hidden="1" outlineLevel="1">
      <c r="A172" s="28"/>
      <c r="B172" s="260"/>
      <c r="C172" s="564" t="str">
        <f>'Backend (to be hidden)'!FI99</f>
        <v>Wood tube studs / Wood Tube // 1.5 x 2.5" / Recycled paper, stud only [EU]</v>
      </c>
      <c r="D172" s="345"/>
      <c r="E172" s="261"/>
      <c r="F172" s="261" t="str">
        <f>VLOOKUP(C172,'Backend (to be hidden)'!$FI$1:$FM$241,5,FALSE)</f>
        <v>m³</v>
      </c>
      <c r="G172" s="267"/>
      <c r="H172" s="346" t="str">
        <f>IF(ISNUMBER(D172),D172*VLOOKUP(C172,'Backend (to be hidden)'!$FI$1:$FL$253,4,FALSE)*-1,"")</f>
        <v/>
      </c>
      <c r="I172" s="150"/>
      <c r="J172" s="6"/>
      <c r="K172" s="6"/>
      <c r="L172" s="6"/>
    </row>
    <row r="173" spans="1:12" ht="15" customHeight="1" thickBot="1">
      <c r="A173" s="28"/>
      <c r="B173" s="265"/>
      <c r="C173" s="263"/>
      <c r="D173" s="263"/>
      <c r="E173" s="263"/>
      <c r="F173" s="263"/>
      <c r="G173" s="263"/>
      <c r="H173" s="263"/>
      <c r="I173" s="266"/>
      <c r="J173" s="6"/>
      <c r="K173" s="6"/>
      <c r="L173" s="6"/>
    </row>
    <row r="174" spans="1:12" ht="30" customHeight="1">
      <c r="A174" s="29"/>
      <c r="B174" s="65"/>
      <c r="C174" s="883" t="s">
        <v>1423</v>
      </c>
      <c r="D174" s="883"/>
      <c r="E174" s="883"/>
      <c r="F174" s="883"/>
      <c r="G174" s="883"/>
      <c r="H174" s="883"/>
      <c r="I174" s="344"/>
      <c r="J174" s="209"/>
      <c r="K174" s="209"/>
      <c r="L174" s="6"/>
    </row>
    <row r="175" spans="1:12" ht="8.1" customHeight="1">
      <c r="A175" s="29"/>
      <c r="B175" s="65"/>
      <c r="C175" s="567"/>
      <c r="D175" s="567"/>
      <c r="E175" s="567"/>
      <c r="F175" s="567"/>
      <c r="G175" s="567"/>
      <c r="H175" s="567"/>
      <c r="I175" s="344"/>
      <c r="J175" s="209"/>
      <c r="K175" s="209"/>
      <c r="L175" s="6"/>
    </row>
    <row r="176" spans="1:12" ht="15" customHeight="1">
      <c r="A176" s="29"/>
      <c r="B176" s="65"/>
      <c r="C176" s="1" t="s">
        <v>1535</v>
      </c>
      <c r="D176" s="1"/>
      <c r="E176" s="1"/>
      <c r="F176" s="1"/>
      <c r="G176" s="1"/>
      <c r="H176" s="1"/>
      <c r="I176" s="344"/>
      <c r="J176" s="6"/>
      <c r="K176" s="6"/>
      <c r="L176" s="6"/>
    </row>
    <row r="177" spans="1:12" ht="8.1" customHeight="1">
      <c r="A177" s="29"/>
      <c r="B177" s="65"/>
      <c r="C177" s="477"/>
      <c r="D177" s="477"/>
      <c r="E177" s="477"/>
      <c r="F177" s="477"/>
      <c r="G177" s="477"/>
      <c r="H177" s="477"/>
      <c r="I177" s="344"/>
      <c r="J177" s="6"/>
      <c r="K177" s="6"/>
      <c r="L177" s="6"/>
    </row>
    <row r="178" spans="1:12" ht="18" customHeight="1">
      <c r="A178" s="29"/>
      <c r="B178" s="65"/>
      <c r="C178" s="868" t="s">
        <v>98</v>
      </c>
      <c r="D178" s="868"/>
      <c r="E178" s="868"/>
      <c r="F178" s="868"/>
      <c r="G178" s="868"/>
      <c r="H178" s="868"/>
      <c r="I178" s="147"/>
      <c r="J178" s="6"/>
      <c r="K178" s="6"/>
      <c r="L178" s="6"/>
    </row>
    <row r="179" spans="1:12" ht="8.1" customHeight="1">
      <c r="A179" s="29"/>
      <c r="B179" s="34"/>
      <c r="C179" s="262"/>
      <c r="D179" s="66"/>
      <c r="E179" s="66"/>
      <c r="F179" s="66"/>
      <c r="G179" s="66"/>
      <c r="H179" s="66"/>
      <c r="I179" s="150"/>
      <c r="J179" s="6"/>
      <c r="K179" s="6"/>
      <c r="L179" s="6"/>
    </row>
    <row r="180" spans="1:12" ht="30" customHeight="1">
      <c r="A180" s="29"/>
      <c r="B180" s="148"/>
      <c r="C180" s="332"/>
      <c r="D180" s="332"/>
      <c r="E180" s="332"/>
      <c r="F180" s="331" t="s">
        <v>458</v>
      </c>
      <c r="G180" s="334"/>
      <c r="H180" s="149" t="s">
        <v>472</v>
      </c>
      <c r="I180" s="150"/>
      <c r="J180" s="534"/>
      <c r="K180" s="534"/>
      <c r="L180" s="6"/>
    </row>
    <row r="181" spans="1:12" ht="15" customHeight="1">
      <c r="A181" s="29"/>
      <c r="B181" s="151"/>
      <c r="C181" s="888" t="s">
        <v>479</v>
      </c>
      <c r="D181" s="888"/>
      <c r="E181" s="888"/>
      <c r="F181" s="888"/>
      <c r="G181" s="888"/>
      <c r="H181" s="888"/>
      <c r="I181" s="152"/>
      <c r="J181" s="6"/>
      <c r="K181" s="6"/>
      <c r="L181" s="6"/>
    </row>
    <row r="182" spans="1:12" ht="8.1" customHeight="1">
      <c r="A182" s="29"/>
      <c r="B182" s="34"/>
      <c r="C182" s="262"/>
      <c r="D182" s="66"/>
      <c r="E182" s="153"/>
      <c r="F182" s="66"/>
      <c r="G182" s="66"/>
      <c r="H182" s="66"/>
      <c r="I182" s="155"/>
      <c r="J182" s="6"/>
      <c r="K182" s="6"/>
      <c r="L182" s="6"/>
    </row>
    <row r="183" spans="1:12" ht="15" customHeight="1">
      <c r="A183" s="29"/>
      <c r="B183" s="141"/>
      <c r="C183" s="66"/>
      <c r="D183" s="66"/>
      <c r="E183" s="262" t="s">
        <v>101</v>
      </c>
      <c r="F183" s="337"/>
      <c r="G183" s="154"/>
      <c r="H183" s="337"/>
      <c r="I183" s="155"/>
      <c r="J183" s="6"/>
      <c r="K183" s="6"/>
      <c r="L183" s="6"/>
    </row>
    <row r="184" spans="1:12" ht="15" customHeight="1">
      <c r="A184" s="29"/>
      <c r="B184" s="141"/>
      <c r="C184" s="66"/>
      <c r="D184" s="66"/>
      <c r="E184" s="262" t="s">
        <v>103</v>
      </c>
      <c r="F184" s="337"/>
      <c r="G184" s="154"/>
      <c r="H184" s="337"/>
      <c r="I184" s="155"/>
      <c r="J184" s="6"/>
      <c r="K184" s="6"/>
      <c r="L184" s="6"/>
    </row>
    <row r="185" spans="1:12" ht="8.1" customHeight="1">
      <c r="A185" s="29"/>
      <c r="B185" s="34"/>
      <c r="C185" s="262"/>
      <c r="D185" s="66"/>
      <c r="E185" s="66"/>
      <c r="F185" s="66"/>
      <c r="G185" s="66"/>
      <c r="H185" s="66"/>
      <c r="I185" s="155"/>
      <c r="J185" s="6"/>
      <c r="K185" s="6"/>
      <c r="L185" s="6"/>
    </row>
    <row r="186" spans="1:12" ht="15" customHeight="1">
      <c r="A186" s="29"/>
      <c r="B186" s="151"/>
      <c r="C186" s="888" t="s">
        <v>480</v>
      </c>
      <c r="D186" s="888"/>
      <c r="E186" s="888"/>
      <c r="F186" s="888"/>
      <c r="G186" s="888"/>
      <c r="H186" s="888"/>
      <c r="I186" s="152"/>
      <c r="J186" s="6"/>
      <c r="K186" s="6"/>
      <c r="L186" s="6"/>
    </row>
    <row r="187" spans="1:12" ht="8.1" customHeight="1">
      <c r="A187" s="29"/>
      <c r="B187" s="34"/>
      <c r="C187" s="262"/>
      <c r="D187" s="66"/>
      <c r="E187" s="66"/>
      <c r="F187" s="66"/>
      <c r="G187" s="66"/>
      <c r="H187" s="66"/>
      <c r="I187" s="155"/>
      <c r="J187" s="6"/>
      <c r="K187" s="6"/>
      <c r="L187" s="6"/>
    </row>
    <row r="188" spans="1:12" ht="15" customHeight="1">
      <c r="A188" s="29"/>
      <c r="B188" s="141"/>
      <c r="C188" s="66"/>
      <c r="D188" s="66"/>
      <c r="E188" s="262" t="s">
        <v>101</v>
      </c>
      <c r="F188" s="156" t="str">
        <f>IFERROR(IF(F183="","",F183/'2. Project Info'!$D$41),"")</f>
        <v/>
      </c>
      <c r="G188" s="157"/>
      <c r="H188" s="156" t="str">
        <f>IFERROR(IF(H183="","",H183/'2. Project Info'!$D$41),"")</f>
        <v/>
      </c>
      <c r="I188" s="155"/>
      <c r="J188" s="6"/>
      <c r="K188" s="6"/>
      <c r="L188" s="6"/>
    </row>
    <row r="189" spans="1:12" ht="15" customHeight="1">
      <c r="A189" s="29"/>
      <c r="B189" s="141"/>
      <c r="C189" s="66"/>
      <c r="D189" s="66"/>
      <c r="E189" s="262" t="s">
        <v>103</v>
      </c>
      <c r="F189" s="156" t="str">
        <f>IFERROR(IF(F184="","",F184/'2. Project Info'!$D$41),"")</f>
        <v/>
      </c>
      <c r="G189" s="157"/>
      <c r="H189" s="156" t="str">
        <f>IFERROR(IF(H184="","",H184/'2. Project Info'!$D$41),"")</f>
        <v/>
      </c>
      <c r="I189" s="155"/>
      <c r="J189" s="6"/>
      <c r="K189" s="6"/>
      <c r="L189" s="6"/>
    </row>
    <row r="190" spans="1:12" ht="8.1" customHeight="1">
      <c r="A190" s="29"/>
      <c r="B190" s="34"/>
      <c r="C190" s="262"/>
      <c r="D190" s="66"/>
      <c r="E190" s="66"/>
      <c r="F190" s="66"/>
      <c r="G190" s="66"/>
      <c r="H190" s="66"/>
      <c r="I190" s="155"/>
      <c r="J190" s="6"/>
      <c r="K190" s="6"/>
      <c r="L190" s="6"/>
    </row>
    <row r="191" spans="1:12" ht="15" customHeight="1">
      <c r="A191" s="29"/>
      <c r="B191" s="151"/>
      <c r="C191" s="888" t="s">
        <v>481</v>
      </c>
      <c r="D191" s="888"/>
      <c r="E191" s="888"/>
      <c r="F191" s="888"/>
      <c r="G191" s="888"/>
      <c r="H191" s="888"/>
      <c r="I191" s="152"/>
      <c r="J191" s="6"/>
      <c r="K191" s="6"/>
      <c r="L191" s="6"/>
    </row>
    <row r="192" spans="1:12" ht="8.1" customHeight="1">
      <c r="A192" s="29"/>
      <c r="B192" s="34"/>
      <c r="C192" s="262"/>
      <c r="D192" s="66"/>
      <c r="E192" s="66"/>
      <c r="F192" s="66"/>
      <c r="G192" s="66"/>
      <c r="H192" s="66"/>
      <c r="I192" s="155"/>
      <c r="J192" s="6"/>
      <c r="K192" s="6"/>
      <c r="L192" s="6"/>
    </row>
    <row r="193" spans="1:12" ht="15" customHeight="1">
      <c r="A193" s="28"/>
      <c r="B193" s="141"/>
      <c r="C193" s="66"/>
      <c r="D193" s="66"/>
      <c r="E193" s="262" t="s">
        <v>101</v>
      </c>
      <c r="F193" s="156" t="str">
        <f>IFERROR(IF(F183="","",F183/'2. Project Info'!$D$43),"")</f>
        <v/>
      </c>
      <c r="G193" s="157"/>
      <c r="H193" s="156" t="str">
        <f>IFERROR(IF(H183="","",H183/'2. Project Info'!$D$43),"")</f>
        <v/>
      </c>
      <c r="I193" s="155"/>
      <c r="J193" s="6"/>
      <c r="K193" s="6"/>
      <c r="L193" s="6"/>
    </row>
    <row r="194" spans="1:12" ht="15" customHeight="1">
      <c r="A194" s="29"/>
      <c r="B194" s="141"/>
      <c r="C194" s="66"/>
      <c r="D194" s="66"/>
      <c r="E194" s="262" t="s">
        <v>103</v>
      </c>
      <c r="F194" s="156" t="str">
        <f>IFERROR(IF(F184="","",F184/'2. Project Info'!$D$43),"")</f>
        <v/>
      </c>
      <c r="G194" s="157"/>
      <c r="H194" s="156" t="str">
        <f>IFERROR(IF(H184="","",H184/'2. Project Info'!$D$43),"")</f>
        <v/>
      </c>
      <c r="I194" s="155"/>
      <c r="J194" s="6"/>
      <c r="K194" s="6"/>
      <c r="L194" s="6"/>
    </row>
    <row r="195" spans="1:12" ht="8.1" customHeight="1">
      <c r="A195" s="29"/>
      <c r="B195" s="52"/>
      <c r="C195" s="66"/>
      <c r="D195" s="66"/>
      <c r="E195" s="66"/>
      <c r="F195" s="66"/>
      <c r="G195" s="66"/>
      <c r="H195" s="66"/>
      <c r="I195" s="155"/>
      <c r="J195" s="6"/>
      <c r="K195" s="6"/>
      <c r="L195" s="6"/>
    </row>
    <row r="196" spans="1:12" ht="18" customHeight="1">
      <c r="A196" s="29"/>
      <c r="B196" s="158"/>
      <c r="C196" s="868" t="s">
        <v>100</v>
      </c>
      <c r="D196" s="868"/>
      <c r="E196" s="868"/>
      <c r="F196" s="868"/>
      <c r="G196" s="868"/>
      <c r="H196" s="868"/>
      <c r="I196" s="147"/>
      <c r="J196" s="6"/>
      <c r="K196" s="6"/>
      <c r="L196" s="6"/>
    </row>
    <row r="197" spans="1:12" ht="8.1" customHeight="1">
      <c r="A197" s="29"/>
      <c r="B197" s="34"/>
      <c r="C197" s="262"/>
      <c r="D197" s="66"/>
      <c r="E197" s="66"/>
      <c r="F197" s="66"/>
      <c r="G197" s="66"/>
      <c r="H197" s="66"/>
      <c r="I197" s="155"/>
      <c r="J197" s="6"/>
      <c r="K197" s="6"/>
      <c r="L197" s="6"/>
    </row>
    <row r="198" spans="1:12" ht="30" customHeight="1">
      <c r="A198" s="29"/>
      <c r="B198" s="148"/>
      <c r="C198" s="66"/>
      <c r="D198" s="66"/>
      <c r="E198" s="335"/>
      <c r="F198" s="149" t="s">
        <v>458</v>
      </c>
      <c r="G198" s="160"/>
      <c r="H198" s="149" t="s">
        <v>472</v>
      </c>
      <c r="I198" s="150"/>
      <c r="J198" s="6"/>
      <c r="K198" s="6"/>
      <c r="L198" s="6"/>
    </row>
    <row r="199" spans="1:12" ht="15" customHeight="1">
      <c r="A199" s="29"/>
      <c r="B199" s="151"/>
      <c r="C199" s="888" t="s">
        <v>479</v>
      </c>
      <c r="D199" s="888"/>
      <c r="E199" s="888"/>
      <c r="F199" s="888"/>
      <c r="G199" s="888"/>
      <c r="H199" s="888"/>
      <c r="I199" s="152"/>
      <c r="J199" s="6"/>
      <c r="K199" s="6"/>
      <c r="L199" s="6"/>
    </row>
    <row r="200" spans="1:12" ht="8.1" customHeight="1">
      <c r="A200" s="29"/>
      <c r="B200" s="34"/>
      <c r="C200" s="262"/>
      <c r="D200" s="66"/>
      <c r="E200" s="66"/>
      <c r="F200" s="66"/>
      <c r="G200" s="66"/>
      <c r="H200" s="66"/>
      <c r="I200" s="155"/>
      <c r="J200" s="6"/>
      <c r="K200" s="6"/>
      <c r="L200" s="6"/>
    </row>
    <row r="201" spans="1:12" ht="15" customHeight="1">
      <c r="A201" s="29"/>
      <c r="B201" s="141"/>
      <c r="C201" s="66"/>
      <c r="D201" s="66"/>
      <c r="E201" s="262" t="s">
        <v>101</v>
      </c>
      <c r="F201" s="337"/>
      <c r="G201" s="154"/>
      <c r="H201" s="337"/>
      <c r="I201" s="155"/>
      <c r="J201" s="6"/>
      <c r="K201" s="6"/>
      <c r="L201" s="6"/>
    </row>
    <row r="202" spans="1:12" ht="15" customHeight="1">
      <c r="A202" s="29"/>
      <c r="B202" s="141"/>
      <c r="C202" s="66"/>
      <c r="D202" s="66"/>
      <c r="E202" s="262" t="s">
        <v>103</v>
      </c>
      <c r="F202" s="337"/>
      <c r="G202" s="154"/>
      <c r="H202" s="337"/>
      <c r="I202" s="155"/>
      <c r="J202" s="6"/>
      <c r="K202" s="6"/>
      <c r="L202" s="6"/>
    </row>
    <row r="203" spans="1:12" ht="8.1" customHeight="1">
      <c r="A203" s="29"/>
      <c r="B203" s="34"/>
      <c r="C203" s="262"/>
      <c r="D203" s="66"/>
      <c r="E203" s="66"/>
      <c r="F203" s="66"/>
      <c r="G203" s="66"/>
      <c r="H203" s="66"/>
      <c r="I203" s="155"/>
      <c r="J203" s="6"/>
      <c r="K203" s="6"/>
      <c r="L203" s="6"/>
    </row>
    <row r="204" spans="1:12" ht="15" customHeight="1">
      <c r="A204" s="29"/>
      <c r="B204" s="151"/>
      <c r="C204" s="888" t="s">
        <v>482</v>
      </c>
      <c r="D204" s="888"/>
      <c r="E204" s="888"/>
      <c r="F204" s="888"/>
      <c r="G204" s="888"/>
      <c r="H204" s="888"/>
      <c r="I204" s="152"/>
      <c r="J204" s="6"/>
      <c r="K204" s="6"/>
      <c r="L204" s="6"/>
    </row>
    <row r="205" spans="1:12" ht="8.1" customHeight="1">
      <c r="A205" s="29"/>
      <c r="B205" s="34"/>
      <c r="C205" s="262"/>
      <c r="D205" s="66"/>
      <c r="E205" s="66"/>
      <c r="F205" s="66"/>
      <c r="G205" s="66"/>
      <c r="H205" s="66"/>
      <c r="I205" s="155"/>
      <c r="J205" s="6"/>
      <c r="K205" s="6"/>
      <c r="L205" s="6"/>
    </row>
    <row r="206" spans="1:12" ht="15" customHeight="1">
      <c r="A206" s="29"/>
      <c r="B206" s="141"/>
      <c r="C206" s="66"/>
      <c r="D206" s="66"/>
      <c r="E206" s="262" t="s">
        <v>101</v>
      </c>
      <c r="F206" s="156" t="str">
        <f>IFERROR(IF(F201="","",F201/'2. Project Info'!$D$41),"")</f>
        <v/>
      </c>
      <c r="G206" s="157"/>
      <c r="H206" s="156" t="str">
        <f>IFERROR(IF(H201="","",H201/'2. Project Info'!$D$41),"")</f>
        <v/>
      </c>
      <c r="I206" s="155"/>
      <c r="J206" s="6"/>
      <c r="K206" s="6"/>
      <c r="L206" s="6"/>
    </row>
    <row r="207" spans="1:12" ht="15" customHeight="1">
      <c r="A207" s="29"/>
      <c r="B207" s="141"/>
      <c r="C207" s="66"/>
      <c r="D207" s="66"/>
      <c r="E207" s="262" t="s">
        <v>103</v>
      </c>
      <c r="F207" s="156" t="str">
        <f>IFERROR(IF(F202="","",F202/'2. Project Info'!$D$41),"")</f>
        <v/>
      </c>
      <c r="G207" s="157"/>
      <c r="H207" s="156" t="str">
        <f>IFERROR(IF(H202="","",H202/'2. Project Info'!$D$41),"")</f>
        <v/>
      </c>
      <c r="I207" s="155"/>
      <c r="J207" s="6"/>
      <c r="K207" s="6"/>
      <c r="L207" s="6"/>
    </row>
    <row r="208" spans="1:12" ht="8.1" customHeight="1">
      <c r="A208" s="29"/>
      <c r="B208" s="34"/>
      <c r="C208" s="262"/>
      <c r="D208" s="66"/>
      <c r="E208" s="66"/>
      <c r="F208" s="66"/>
      <c r="G208" s="66"/>
      <c r="H208" s="66"/>
      <c r="I208" s="155"/>
      <c r="J208" s="6"/>
      <c r="K208" s="6"/>
      <c r="L208" s="6"/>
    </row>
    <row r="209" spans="1:12" ht="15" customHeight="1">
      <c r="A209" s="29"/>
      <c r="B209" s="151"/>
      <c r="C209" s="888" t="s">
        <v>481</v>
      </c>
      <c r="D209" s="888"/>
      <c r="E209" s="888"/>
      <c r="F209" s="888"/>
      <c r="G209" s="888"/>
      <c r="H209" s="888"/>
      <c r="I209" s="152"/>
      <c r="J209" s="6"/>
      <c r="K209" s="6"/>
      <c r="L209" s="6"/>
    </row>
    <row r="210" spans="1:12" ht="8.1" customHeight="1">
      <c r="A210" s="29"/>
      <c r="B210" s="34"/>
      <c r="C210" s="262"/>
      <c r="D210" s="66"/>
      <c r="E210" s="66"/>
      <c r="F210" s="66"/>
      <c r="G210" s="66"/>
      <c r="H210" s="66"/>
      <c r="I210" s="155"/>
      <c r="J210" s="6"/>
      <c r="K210" s="6"/>
      <c r="L210" s="6"/>
    </row>
    <row r="211" spans="1:12" ht="15" customHeight="1">
      <c r="A211" s="29"/>
      <c r="B211" s="141"/>
      <c r="C211" s="66"/>
      <c r="D211" s="66"/>
      <c r="E211" s="262" t="s">
        <v>101</v>
      </c>
      <c r="F211" s="156" t="str">
        <f>IFERROR(IF(F201="","",F201/'2. Project Info'!$D$43),"")</f>
        <v/>
      </c>
      <c r="G211" s="157"/>
      <c r="H211" s="156" t="str">
        <f>IFERROR(IF(H201="","",H201/'2. Project Info'!$D$43),"")</f>
        <v/>
      </c>
      <c r="I211" s="155"/>
      <c r="J211" s="6"/>
      <c r="K211" s="6"/>
      <c r="L211" s="6"/>
    </row>
    <row r="212" spans="1:12" ht="15" customHeight="1">
      <c r="A212" s="28"/>
      <c r="B212" s="141"/>
      <c r="C212" s="66"/>
      <c r="D212" s="66"/>
      <c r="E212" s="262" t="s">
        <v>103</v>
      </c>
      <c r="F212" s="156" t="str">
        <f>IFERROR(IF(F202="","",F202/'2. Project Info'!$D$43),"")</f>
        <v/>
      </c>
      <c r="G212" s="157"/>
      <c r="H212" s="156" t="str">
        <f>IFERROR(IF(H202="","",H202/'2. Project Info'!$D$43),"")</f>
        <v/>
      </c>
      <c r="I212" s="155"/>
      <c r="J212" s="6"/>
      <c r="K212" s="6"/>
      <c r="L212" s="6"/>
    </row>
    <row r="213" spans="1:12" ht="15" customHeight="1" thickBot="1">
      <c r="A213" s="28"/>
      <c r="B213" s="55"/>
      <c r="C213" s="56"/>
      <c r="D213" s="56"/>
      <c r="E213" s="56"/>
      <c r="F213" s="56"/>
      <c r="G213" s="56"/>
      <c r="H213" s="56"/>
      <c r="I213" s="161"/>
      <c r="J213" s="6"/>
      <c r="K213" s="6"/>
      <c r="L213" s="6"/>
    </row>
    <row r="214" spans="1:12" ht="15" customHeight="1">
      <c r="A214" s="28"/>
      <c r="B214" s="28"/>
      <c r="C214" s="28"/>
      <c r="D214" s="28"/>
      <c r="E214" s="28"/>
      <c r="F214" s="28"/>
      <c r="G214" s="28"/>
      <c r="H214" s="30"/>
      <c r="I214" s="28"/>
    </row>
    <row r="215" spans="1:12" ht="15" hidden="1" customHeight="1">
      <c r="A215" s="28"/>
      <c r="B215" s="28"/>
      <c r="C215" s="28"/>
      <c r="D215" s="28"/>
      <c r="E215" s="28"/>
      <c r="F215" s="28"/>
      <c r="G215" s="28"/>
      <c r="H215" s="30"/>
      <c r="I215" s="28"/>
    </row>
    <row r="216" spans="1:12" ht="15" hidden="1" customHeight="1">
      <c r="A216" s="28"/>
      <c r="B216" s="28"/>
      <c r="C216" s="28"/>
      <c r="D216" s="28"/>
      <c r="E216" s="28"/>
      <c r="F216" s="28"/>
      <c r="G216" s="28"/>
      <c r="H216" s="30"/>
      <c r="I216" s="28"/>
    </row>
    <row r="217" spans="1:12" ht="15" hidden="1" customHeight="1">
      <c r="A217" s="28"/>
      <c r="B217" s="28"/>
      <c r="C217" s="28"/>
      <c r="D217" s="28"/>
      <c r="E217" s="28"/>
      <c r="F217" s="28"/>
      <c r="G217" s="28"/>
      <c r="H217" s="30"/>
      <c r="I217" s="28"/>
    </row>
    <row r="218" spans="1:12" ht="15" hidden="1" customHeight="1">
      <c r="A218" s="28"/>
      <c r="B218" s="28"/>
      <c r="C218" s="28"/>
      <c r="D218" s="28"/>
      <c r="E218" s="28"/>
      <c r="F218" s="28"/>
      <c r="G218" s="28"/>
      <c r="H218" s="30"/>
      <c r="I218" s="28"/>
    </row>
    <row r="219" spans="1:12" ht="15" hidden="1" customHeight="1">
      <c r="A219" s="28"/>
      <c r="B219" s="28"/>
      <c r="C219" s="28"/>
      <c r="D219" s="28"/>
      <c r="E219" s="28"/>
      <c r="F219" s="28"/>
      <c r="G219" s="28"/>
      <c r="H219" s="30"/>
      <c r="I219" s="28"/>
    </row>
    <row r="220" spans="1:12" ht="15" hidden="1" customHeight="1">
      <c r="A220" s="28"/>
      <c r="B220" s="28"/>
      <c r="C220" s="28"/>
      <c r="D220" s="28"/>
      <c r="E220" s="28"/>
      <c r="F220" s="28"/>
      <c r="G220" s="28"/>
      <c r="H220" s="30"/>
      <c r="I220" s="28"/>
    </row>
    <row r="221" spans="1:12" ht="15" hidden="1" customHeight="1">
      <c r="A221" s="28"/>
      <c r="B221" s="28"/>
      <c r="C221" s="28"/>
      <c r="D221" s="28"/>
      <c r="E221" s="28"/>
      <c r="F221" s="28"/>
      <c r="G221" s="28"/>
      <c r="H221" s="30"/>
      <c r="I221" s="28"/>
    </row>
    <row r="222" spans="1:12" ht="15" hidden="1" customHeight="1">
      <c r="A222" s="28"/>
      <c r="B222" s="28"/>
      <c r="C222" s="28"/>
      <c r="D222" s="28"/>
      <c r="E222" s="28"/>
      <c r="F222" s="28"/>
      <c r="G222" s="28"/>
      <c r="H222" s="30"/>
      <c r="I222" s="28"/>
    </row>
    <row r="223" spans="1:12" ht="15" hidden="1" customHeight="1">
      <c r="A223" s="28"/>
      <c r="B223" s="28"/>
      <c r="C223" s="28"/>
      <c r="D223" s="28"/>
      <c r="E223" s="28"/>
      <c r="F223" s="28"/>
      <c r="G223" s="28"/>
      <c r="H223" s="30"/>
      <c r="I223" s="28"/>
    </row>
    <row r="224" spans="1:12" ht="15" hidden="1" customHeight="1">
      <c r="A224" s="28"/>
      <c r="B224" s="28"/>
      <c r="C224" s="28"/>
      <c r="D224" s="28"/>
      <c r="E224" s="28"/>
      <c r="F224" s="28"/>
      <c r="G224" s="28"/>
      <c r="H224" s="30"/>
      <c r="I224" s="28"/>
    </row>
    <row r="225" spans="1:9" ht="15" hidden="1" customHeight="1">
      <c r="A225" s="28"/>
      <c r="B225" s="28"/>
      <c r="C225" s="28"/>
      <c r="D225" s="28"/>
      <c r="E225" s="28"/>
      <c r="F225" s="28"/>
      <c r="G225" s="28"/>
      <c r="H225" s="30"/>
      <c r="I225" s="28"/>
    </row>
    <row r="226" spans="1:9" ht="15" hidden="1" customHeight="1">
      <c r="A226" s="28"/>
      <c r="B226" s="28"/>
      <c r="C226" s="28"/>
      <c r="D226" s="28"/>
      <c r="E226" s="28"/>
      <c r="F226" s="28"/>
      <c r="G226" s="28"/>
      <c r="H226" s="30"/>
      <c r="I226" s="28"/>
    </row>
    <row r="227" spans="1:9" ht="15" hidden="1" customHeight="1">
      <c r="A227" s="28"/>
      <c r="B227" s="28"/>
      <c r="C227" s="28"/>
      <c r="D227" s="28"/>
      <c r="E227" s="28"/>
      <c r="F227" s="28"/>
      <c r="G227" s="28"/>
      <c r="H227" s="30"/>
      <c r="I227" s="28"/>
    </row>
    <row r="228" spans="1:9" ht="15" hidden="1" customHeight="1">
      <c r="A228" s="28"/>
      <c r="B228" s="28"/>
      <c r="C228" s="28"/>
      <c r="D228" s="28"/>
      <c r="E228" s="28"/>
      <c r="F228" s="28"/>
      <c r="G228" s="28"/>
      <c r="H228" s="30"/>
      <c r="I228" s="28"/>
    </row>
    <row r="229" spans="1:9" ht="15" hidden="1" customHeight="1">
      <c r="A229" s="28"/>
      <c r="B229" s="28"/>
      <c r="C229" s="28"/>
      <c r="D229" s="28"/>
      <c r="E229" s="28"/>
      <c r="F229" s="28"/>
      <c r="G229" s="28"/>
      <c r="H229" s="30"/>
      <c r="I229" s="28"/>
    </row>
    <row r="230" spans="1:9" ht="15" hidden="1" customHeight="1">
      <c r="A230" s="28"/>
      <c r="B230" s="28"/>
      <c r="C230" s="28"/>
      <c r="D230" s="28"/>
      <c r="E230" s="28"/>
      <c r="F230" s="28"/>
      <c r="G230" s="28"/>
      <c r="H230" s="30"/>
      <c r="I230" s="28"/>
    </row>
    <row r="231" spans="1:9" ht="15" hidden="1" customHeight="1">
      <c r="A231" s="28"/>
      <c r="B231" s="28"/>
      <c r="C231" s="28"/>
      <c r="D231" s="28"/>
      <c r="E231" s="28"/>
      <c r="F231" s="28"/>
      <c r="G231" s="28"/>
      <c r="H231" s="30"/>
      <c r="I231" s="28"/>
    </row>
    <row r="232" spans="1:9" ht="15" hidden="1" customHeight="1">
      <c r="A232" s="28"/>
      <c r="B232" s="28"/>
      <c r="C232" s="28"/>
      <c r="D232" s="28"/>
      <c r="E232" s="28"/>
      <c r="F232" s="28"/>
      <c r="G232" s="28"/>
      <c r="H232" s="30"/>
      <c r="I232" s="28"/>
    </row>
    <row r="233" spans="1:9" ht="15" hidden="1" customHeight="1">
      <c r="A233" s="28"/>
      <c r="B233" s="28"/>
      <c r="C233" s="28"/>
      <c r="D233" s="28"/>
      <c r="E233" s="28"/>
      <c r="F233" s="28"/>
      <c r="G233" s="28"/>
      <c r="H233" s="30"/>
      <c r="I233" s="28"/>
    </row>
    <row r="234" spans="1:9" ht="15" hidden="1" customHeight="1">
      <c r="A234" s="28"/>
      <c r="B234" s="28"/>
      <c r="C234" s="28"/>
      <c r="D234" s="28"/>
      <c r="E234" s="28"/>
      <c r="F234" s="28"/>
      <c r="G234" s="28"/>
      <c r="H234" s="30"/>
      <c r="I234" s="28"/>
    </row>
    <row r="235" spans="1:9" ht="15" hidden="1" customHeight="1">
      <c r="A235" s="28"/>
      <c r="B235" s="28"/>
      <c r="C235" s="28"/>
      <c r="D235" s="28"/>
      <c r="E235" s="28"/>
      <c r="F235" s="28"/>
      <c r="G235" s="28"/>
      <c r="H235" s="30"/>
      <c r="I235" s="28"/>
    </row>
    <row r="236" spans="1:9" ht="15" hidden="1" customHeight="1">
      <c r="A236" s="28"/>
      <c r="B236" s="28"/>
      <c r="C236" s="28"/>
      <c r="D236" s="28"/>
      <c r="E236" s="28"/>
      <c r="F236" s="28"/>
      <c r="G236" s="28"/>
      <c r="H236" s="30"/>
      <c r="I236" s="28"/>
    </row>
    <row r="237" spans="1:9" ht="15" hidden="1" customHeight="1">
      <c r="A237" s="28"/>
      <c r="B237" s="28"/>
      <c r="C237" s="28"/>
      <c r="D237" s="28"/>
      <c r="E237" s="28"/>
      <c r="F237" s="28"/>
      <c r="G237" s="28"/>
      <c r="H237" s="30"/>
      <c r="I237" s="28"/>
    </row>
    <row r="238" spans="1:9" ht="15" hidden="1" customHeight="1">
      <c r="A238" s="28"/>
      <c r="B238" s="28"/>
      <c r="C238" s="28"/>
      <c r="D238" s="28"/>
      <c r="E238" s="28"/>
      <c r="F238" s="28"/>
      <c r="G238" s="28"/>
      <c r="H238" s="30"/>
      <c r="I238" s="28"/>
    </row>
    <row r="239" spans="1:9" ht="15" hidden="1" customHeight="1">
      <c r="A239" s="28"/>
      <c r="B239" s="28"/>
      <c r="C239" s="28"/>
      <c r="D239" s="28"/>
      <c r="E239" s="28"/>
      <c r="F239" s="28"/>
      <c r="G239" s="28"/>
      <c r="H239" s="30"/>
      <c r="I239" s="28"/>
    </row>
    <row r="240" spans="1:9" ht="15" hidden="1" customHeight="1">
      <c r="A240" s="28"/>
      <c r="B240" s="28"/>
      <c r="C240" s="28"/>
      <c r="D240" s="28"/>
      <c r="E240" s="28"/>
      <c r="F240" s="28"/>
      <c r="G240" s="28"/>
      <c r="H240" s="30"/>
      <c r="I240" s="28"/>
    </row>
    <row r="241" spans="1:9" ht="15" hidden="1" customHeight="1">
      <c r="A241" s="28"/>
      <c r="B241" s="28"/>
      <c r="C241" s="28"/>
      <c r="D241" s="28"/>
      <c r="E241" s="28"/>
      <c r="F241" s="28"/>
      <c r="G241" s="28"/>
      <c r="H241" s="30"/>
      <c r="I241" s="28"/>
    </row>
    <row r="242" spans="1:9" ht="15" hidden="1" customHeight="1">
      <c r="A242" s="28"/>
      <c r="B242" s="28"/>
      <c r="C242" s="28"/>
      <c r="D242" s="28"/>
      <c r="E242" s="28"/>
      <c r="F242" s="28"/>
      <c r="G242" s="28"/>
      <c r="H242" s="30"/>
      <c r="I242" s="28"/>
    </row>
    <row r="243" spans="1:9" ht="15" hidden="1" customHeight="1">
      <c r="A243" s="28"/>
      <c r="B243" s="28"/>
      <c r="C243" s="28"/>
      <c r="D243" s="28"/>
      <c r="E243" s="28"/>
      <c r="F243" s="28"/>
      <c r="G243" s="28"/>
      <c r="H243" s="30"/>
      <c r="I243" s="28"/>
    </row>
    <row r="244" spans="1:9" ht="15" hidden="1" customHeight="1">
      <c r="A244" s="28"/>
      <c r="B244" s="28"/>
      <c r="C244" s="28"/>
      <c r="D244" s="28"/>
      <c r="E244" s="28"/>
      <c r="F244" s="28"/>
      <c r="G244" s="28"/>
      <c r="H244" s="30"/>
      <c r="I244" s="28"/>
    </row>
    <row r="245" spans="1:9" ht="15" hidden="1" customHeight="1">
      <c r="A245" s="28"/>
      <c r="B245" s="28"/>
      <c r="C245" s="28"/>
      <c r="D245" s="28"/>
      <c r="E245" s="28"/>
      <c r="F245" s="28"/>
      <c r="G245" s="28"/>
      <c r="H245" s="30"/>
      <c r="I245" s="28"/>
    </row>
    <row r="246" spans="1:9" ht="15" hidden="1" customHeight="1">
      <c r="A246" s="28"/>
      <c r="B246" s="28"/>
      <c r="C246" s="28"/>
      <c r="D246" s="28"/>
      <c r="E246" s="28"/>
      <c r="F246" s="28"/>
      <c r="G246" s="28"/>
      <c r="H246" s="30"/>
      <c r="I246" s="28"/>
    </row>
    <row r="247" spans="1:9" ht="15" hidden="1" customHeight="1">
      <c r="A247" s="28"/>
      <c r="B247" s="28"/>
      <c r="C247" s="28"/>
      <c r="D247" s="28"/>
      <c r="E247" s="28"/>
      <c r="F247" s="28"/>
      <c r="G247" s="28"/>
      <c r="H247" s="30"/>
      <c r="I247" s="28"/>
    </row>
    <row r="248" spans="1:9" ht="15" hidden="1" customHeight="1">
      <c r="A248" s="28"/>
      <c r="B248" s="28"/>
      <c r="C248" s="28"/>
      <c r="D248" s="28"/>
      <c r="E248" s="28"/>
      <c r="F248" s="28"/>
      <c r="G248" s="28"/>
      <c r="H248" s="30"/>
      <c r="I248" s="28"/>
    </row>
    <row r="249" spans="1:9" ht="15" hidden="1" customHeight="1">
      <c r="A249" s="28"/>
      <c r="B249" s="28"/>
      <c r="C249" s="28"/>
      <c r="D249" s="28"/>
      <c r="E249" s="28"/>
      <c r="F249" s="28"/>
      <c r="G249" s="28"/>
      <c r="H249" s="30"/>
      <c r="I249" s="28"/>
    </row>
    <row r="250" spans="1:9" ht="15" hidden="1" customHeight="1">
      <c r="A250" s="28"/>
      <c r="B250" s="28"/>
      <c r="C250" s="28"/>
      <c r="D250" s="28"/>
      <c r="E250" s="28"/>
      <c r="F250" s="28"/>
      <c r="G250" s="28"/>
      <c r="H250" s="30"/>
      <c r="I250" s="28"/>
    </row>
    <row r="251" spans="1:9" ht="15" hidden="1" customHeight="1">
      <c r="A251" s="28"/>
      <c r="B251" s="28"/>
      <c r="C251" s="28"/>
      <c r="D251" s="28"/>
      <c r="E251" s="28"/>
      <c r="F251" s="28"/>
      <c r="G251" s="28"/>
      <c r="H251" s="30"/>
      <c r="I251" s="28"/>
    </row>
    <row r="252" spans="1:9" ht="15" hidden="1" customHeight="1">
      <c r="A252" s="28"/>
      <c r="B252" s="28"/>
      <c r="C252" s="28"/>
      <c r="D252" s="28"/>
      <c r="E252" s="28"/>
      <c r="F252" s="28"/>
      <c r="G252" s="28"/>
      <c r="H252" s="30"/>
      <c r="I252" s="28"/>
    </row>
    <row r="253" spans="1:9" ht="15" hidden="1" customHeight="1">
      <c r="A253" s="28"/>
      <c r="B253" s="28"/>
      <c r="C253" s="28"/>
      <c r="D253" s="28"/>
      <c r="E253" s="28"/>
      <c r="F253" s="28"/>
      <c r="G253" s="28"/>
      <c r="H253" s="30"/>
      <c r="I253" s="28"/>
    </row>
    <row r="254" spans="1:9" ht="15" hidden="1" customHeight="1">
      <c r="A254" s="28"/>
      <c r="B254" s="28"/>
      <c r="C254" s="28"/>
      <c r="D254" s="28"/>
      <c r="E254" s="28"/>
      <c r="F254" s="28"/>
      <c r="G254" s="28"/>
      <c r="H254" s="30"/>
      <c r="I254" s="28"/>
    </row>
    <row r="255" spans="1:9" ht="15" hidden="1" customHeight="1">
      <c r="A255" s="28"/>
      <c r="B255" s="28"/>
      <c r="C255" s="28"/>
      <c r="D255" s="28"/>
      <c r="E255" s="28"/>
      <c r="F255" s="28"/>
      <c r="G255" s="28"/>
      <c r="H255" s="30"/>
      <c r="I255" s="28"/>
    </row>
    <row r="256" spans="1:9" ht="15" hidden="1" customHeight="1">
      <c r="A256" s="28"/>
      <c r="B256" s="28"/>
      <c r="C256" s="28"/>
      <c r="D256" s="28"/>
      <c r="E256" s="28"/>
      <c r="F256" s="28"/>
      <c r="G256" s="28"/>
      <c r="H256" s="30"/>
      <c r="I256" s="28"/>
    </row>
    <row r="257" spans="1:9" ht="15" hidden="1" customHeight="1">
      <c r="A257" s="28"/>
      <c r="B257" s="28"/>
      <c r="C257" s="28"/>
      <c r="D257" s="28"/>
      <c r="E257" s="28"/>
      <c r="F257" s="28"/>
      <c r="G257" s="28"/>
      <c r="H257" s="30"/>
      <c r="I257" s="28"/>
    </row>
    <row r="258" spans="1:9" ht="15" hidden="1" customHeight="1">
      <c r="A258" s="28"/>
      <c r="B258" s="28"/>
      <c r="C258" s="28"/>
      <c r="D258" s="28"/>
      <c r="E258" s="28"/>
      <c r="F258" s="28"/>
      <c r="G258" s="28"/>
      <c r="H258" s="30"/>
      <c r="I258" s="28"/>
    </row>
    <row r="259" spans="1:9" ht="15" hidden="1" customHeight="1">
      <c r="A259" s="28"/>
      <c r="B259" s="28"/>
      <c r="C259" s="28"/>
      <c r="D259" s="28"/>
      <c r="E259" s="28"/>
      <c r="F259" s="28"/>
      <c r="G259" s="28"/>
      <c r="H259" s="30"/>
      <c r="I259" s="28"/>
    </row>
    <row r="260" spans="1:9" ht="15" hidden="1" customHeight="1">
      <c r="A260" s="28"/>
      <c r="B260" s="28"/>
      <c r="C260" s="28"/>
      <c r="D260" s="28"/>
      <c r="E260" s="28"/>
      <c r="F260" s="28"/>
      <c r="G260" s="28"/>
      <c r="H260" s="30"/>
      <c r="I260" s="28"/>
    </row>
    <row r="261" spans="1:9" ht="15" hidden="1" customHeight="1">
      <c r="A261" s="28"/>
      <c r="B261" s="28"/>
      <c r="C261" s="28"/>
      <c r="D261" s="28"/>
      <c r="E261" s="28"/>
      <c r="F261" s="28"/>
      <c r="G261" s="28"/>
      <c r="H261" s="30"/>
      <c r="I261" s="28"/>
    </row>
    <row r="262" spans="1:9" ht="15" hidden="1" customHeight="1">
      <c r="A262" s="28"/>
      <c r="B262" s="28"/>
      <c r="C262" s="28"/>
      <c r="D262" s="28"/>
      <c r="E262" s="28"/>
      <c r="F262" s="28"/>
      <c r="G262" s="28"/>
      <c r="H262" s="30"/>
      <c r="I262" s="28"/>
    </row>
    <row r="263" spans="1:9" ht="15" hidden="1" customHeight="1">
      <c r="A263" s="28"/>
      <c r="B263" s="28"/>
      <c r="C263" s="28"/>
      <c r="D263" s="28"/>
      <c r="E263" s="28"/>
      <c r="F263" s="28"/>
      <c r="G263" s="28"/>
      <c r="H263" s="30"/>
      <c r="I263" s="28"/>
    </row>
    <row r="264" spans="1:9" ht="15" hidden="1" customHeight="1">
      <c r="A264" s="28"/>
      <c r="B264" s="28"/>
      <c r="C264" s="28"/>
      <c r="D264" s="28"/>
      <c r="E264" s="28"/>
      <c r="F264" s="28"/>
      <c r="G264" s="28"/>
      <c r="H264" s="30"/>
      <c r="I264" s="28"/>
    </row>
    <row r="265" spans="1:9" ht="15" hidden="1" customHeight="1">
      <c r="A265" s="28"/>
      <c r="B265" s="28"/>
      <c r="C265" s="28"/>
      <c r="D265" s="28"/>
      <c r="E265" s="28"/>
      <c r="F265" s="28"/>
      <c r="G265" s="28"/>
      <c r="H265" s="30"/>
      <c r="I265" s="28"/>
    </row>
    <row r="266" spans="1:9" ht="15" hidden="1" customHeight="1">
      <c r="A266" s="28"/>
      <c r="B266" s="28"/>
      <c r="C266" s="28"/>
      <c r="D266" s="28"/>
      <c r="E266" s="28"/>
      <c r="F266" s="28"/>
      <c r="G266" s="28"/>
      <c r="H266" s="30"/>
      <c r="I266" s="28"/>
    </row>
    <row r="267" spans="1:9" ht="15" hidden="1" customHeight="1">
      <c r="A267" s="28"/>
      <c r="B267" s="28"/>
      <c r="C267" s="28"/>
      <c r="D267" s="28"/>
      <c r="E267" s="28"/>
      <c r="F267" s="28"/>
      <c r="G267" s="28"/>
      <c r="H267" s="30"/>
      <c r="I267" s="28"/>
    </row>
    <row r="268" spans="1:9" ht="15" hidden="1" customHeight="1">
      <c r="A268" s="28"/>
      <c r="B268" s="28"/>
      <c r="C268" s="28"/>
      <c r="D268" s="28"/>
      <c r="E268" s="28"/>
      <c r="F268" s="28"/>
      <c r="G268" s="28"/>
      <c r="H268" s="30"/>
      <c r="I268" s="28"/>
    </row>
    <row r="269" spans="1:9" ht="15" hidden="1" customHeight="1">
      <c r="A269" s="28"/>
      <c r="B269" s="28"/>
      <c r="C269" s="28"/>
      <c r="D269" s="28"/>
      <c r="E269" s="28"/>
      <c r="F269" s="28"/>
      <c r="G269" s="28"/>
      <c r="H269" s="30"/>
      <c r="I269" s="28"/>
    </row>
    <row r="270" spans="1:9" ht="15" hidden="1" customHeight="1">
      <c r="A270" s="28"/>
      <c r="B270" s="28"/>
      <c r="C270" s="28"/>
      <c r="D270" s="28"/>
      <c r="E270" s="28"/>
      <c r="F270" s="28"/>
      <c r="G270" s="28"/>
      <c r="H270" s="30"/>
      <c r="I270" s="28"/>
    </row>
    <row r="271" spans="1:9" ht="15" hidden="1" customHeight="1">
      <c r="A271" s="28"/>
      <c r="B271" s="28"/>
      <c r="C271" s="28"/>
      <c r="D271" s="28"/>
      <c r="E271" s="28"/>
      <c r="F271" s="28"/>
      <c r="G271" s="28"/>
      <c r="H271" s="30"/>
      <c r="I271" s="28"/>
    </row>
    <row r="272" spans="1:9" ht="15" hidden="1" customHeight="1">
      <c r="A272" s="28"/>
      <c r="B272" s="28"/>
      <c r="C272" s="28"/>
      <c r="D272" s="28"/>
      <c r="E272" s="28"/>
      <c r="F272" s="28"/>
      <c r="G272" s="28"/>
      <c r="H272" s="30"/>
      <c r="I272" s="28"/>
    </row>
    <row r="273" spans="1:9" ht="15" hidden="1" customHeight="1">
      <c r="A273" s="28"/>
      <c r="B273" s="28"/>
      <c r="C273" s="28"/>
      <c r="D273" s="28"/>
      <c r="E273" s="28"/>
      <c r="F273" s="28"/>
      <c r="G273" s="28"/>
      <c r="H273" s="30"/>
      <c r="I273" s="28"/>
    </row>
    <row r="274" spans="1:9" ht="15" hidden="1" customHeight="1">
      <c r="A274" s="28"/>
      <c r="B274" s="28"/>
      <c r="C274" s="28"/>
      <c r="D274" s="28"/>
      <c r="E274" s="28"/>
      <c r="F274" s="28"/>
      <c r="G274" s="28"/>
      <c r="H274" s="30"/>
      <c r="I274" s="28"/>
    </row>
    <row r="275" spans="1:9" ht="15" hidden="1" customHeight="1">
      <c r="A275" s="28"/>
      <c r="B275" s="28"/>
      <c r="C275" s="28"/>
      <c r="D275" s="28"/>
      <c r="E275" s="28"/>
      <c r="F275" s="28"/>
      <c r="G275" s="28"/>
      <c r="H275" s="30"/>
      <c r="I275" s="28"/>
    </row>
    <row r="276" spans="1:9" ht="15" hidden="1" customHeight="1">
      <c r="A276" s="28"/>
      <c r="B276" s="28"/>
      <c r="C276" s="28"/>
      <c r="D276" s="28"/>
      <c r="E276" s="28"/>
      <c r="F276" s="28"/>
      <c r="G276" s="28"/>
      <c r="H276" s="30"/>
      <c r="I276" s="28"/>
    </row>
    <row r="277" spans="1:9" ht="15" hidden="1" customHeight="1">
      <c r="A277" s="28"/>
      <c r="B277" s="28"/>
      <c r="C277" s="28"/>
      <c r="D277" s="28"/>
      <c r="E277" s="28"/>
      <c r="F277" s="28"/>
      <c r="G277" s="28"/>
      <c r="H277" s="30"/>
      <c r="I277" s="28"/>
    </row>
    <row r="278" spans="1:9" ht="15" hidden="1" customHeight="1">
      <c r="A278" s="28"/>
      <c r="B278" s="28"/>
      <c r="C278" s="28"/>
      <c r="D278" s="28"/>
      <c r="E278" s="28"/>
      <c r="F278" s="28"/>
      <c r="G278" s="28"/>
      <c r="H278" s="30"/>
      <c r="I278" s="28"/>
    </row>
    <row r="279" spans="1:9" ht="15" hidden="1" customHeight="1">
      <c r="A279" s="28"/>
      <c r="B279" s="28"/>
      <c r="C279" s="28"/>
      <c r="D279" s="28"/>
      <c r="E279" s="28"/>
      <c r="F279" s="28"/>
      <c r="G279" s="28"/>
      <c r="H279" s="30"/>
      <c r="I279" s="28"/>
    </row>
    <row r="280" spans="1:9" ht="15" hidden="1" customHeight="1">
      <c r="A280" s="28"/>
      <c r="B280" s="28"/>
      <c r="C280" s="28"/>
      <c r="D280" s="28"/>
      <c r="E280" s="28"/>
      <c r="F280" s="28"/>
      <c r="G280" s="28"/>
      <c r="H280" s="30"/>
      <c r="I280" s="28"/>
    </row>
    <row r="281" spans="1:9" ht="15" hidden="1" customHeight="1">
      <c r="A281" s="28"/>
      <c r="B281" s="28"/>
      <c r="C281" s="28"/>
      <c r="D281" s="28"/>
      <c r="E281" s="28"/>
      <c r="F281" s="28"/>
      <c r="G281" s="28"/>
      <c r="H281" s="30"/>
      <c r="I281" s="28"/>
    </row>
    <row r="282" spans="1:9" ht="15" hidden="1" customHeight="1">
      <c r="A282" s="28"/>
      <c r="B282" s="28"/>
      <c r="C282" s="28"/>
      <c r="D282" s="28"/>
      <c r="E282" s="28"/>
      <c r="F282" s="28"/>
      <c r="G282" s="28"/>
      <c r="H282" s="30"/>
      <c r="I282" s="28"/>
    </row>
    <row r="283" spans="1:9" ht="15" hidden="1" customHeight="1">
      <c r="A283" s="28"/>
      <c r="B283" s="28"/>
      <c r="C283" s="28"/>
      <c r="D283" s="28"/>
      <c r="E283" s="28"/>
      <c r="F283" s="28"/>
      <c r="G283" s="28"/>
      <c r="H283" s="30"/>
      <c r="I283" s="28"/>
    </row>
    <row r="284" spans="1:9" ht="15" hidden="1" customHeight="1">
      <c r="A284" s="28"/>
      <c r="B284" s="28"/>
      <c r="C284" s="28"/>
      <c r="D284" s="28"/>
      <c r="E284" s="28"/>
      <c r="F284" s="28"/>
      <c r="G284" s="28"/>
      <c r="H284" s="30"/>
      <c r="I284" s="28"/>
    </row>
    <row r="285" spans="1:9" ht="15" hidden="1" customHeight="1">
      <c r="A285" s="28"/>
      <c r="B285" s="28"/>
      <c r="C285" s="28"/>
      <c r="D285" s="28"/>
      <c r="E285" s="28"/>
      <c r="F285" s="28"/>
      <c r="G285" s="28"/>
      <c r="H285" s="30"/>
      <c r="I285" s="28"/>
    </row>
    <row r="286" spans="1:9" ht="15" hidden="1" customHeight="1">
      <c r="A286" s="28"/>
      <c r="B286" s="28"/>
      <c r="C286" s="28"/>
      <c r="D286" s="28"/>
      <c r="E286" s="28"/>
      <c r="F286" s="28"/>
      <c r="G286" s="28"/>
      <c r="H286" s="30"/>
      <c r="I286" s="28"/>
    </row>
    <row r="287" spans="1:9" ht="15" hidden="1" customHeight="1">
      <c r="A287" s="28"/>
      <c r="B287" s="28"/>
      <c r="C287" s="28"/>
      <c r="D287" s="28"/>
      <c r="E287" s="28"/>
      <c r="F287" s="28"/>
      <c r="G287" s="28"/>
      <c r="H287" s="30"/>
      <c r="I287" s="28"/>
    </row>
    <row r="288" spans="1:9" ht="15" hidden="1" customHeight="1">
      <c r="A288" s="28"/>
      <c r="B288" s="28"/>
      <c r="C288" s="28"/>
      <c r="D288" s="28"/>
      <c r="E288" s="28"/>
      <c r="F288" s="28"/>
      <c r="G288" s="28"/>
      <c r="H288" s="30"/>
      <c r="I288" s="28"/>
    </row>
    <row r="289" spans="1:9" ht="15" hidden="1" customHeight="1">
      <c r="A289" s="28"/>
      <c r="B289" s="28"/>
      <c r="C289" s="28"/>
      <c r="D289" s="28"/>
      <c r="E289" s="28"/>
      <c r="F289" s="28"/>
      <c r="G289" s="28"/>
      <c r="H289" s="30"/>
      <c r="I289" s="28"/>
    </row>
    <row r="290" spans="1:9" ht="15" hidden="1" customHeight="1">
      <c r="A290" s="28"/>
      <c r="B290" s="28"/>
      <c r="C290" s="28"/>
      <c r="D290" s="28"/>
      <c r="E290" s="28"/>
      <c r="F290" s="28"/>
      <c r="G290" s="28"/>
      <c r="H290" s="30"/>
      <c r="I290" s="28"/>
    </row>
    <row r="291" spans="1:9" ht="15" hidden="1" customHeight="1">
      <c r="A291" s="28"/>
      <c r="B291" s="28"/>
      <c r="C291" s="28"/>
      <c r="D291" s="28"/>
      <c r="E291" s="28"/>
      <c r="F291" s="28"/>
      <c r="G291" s="28"/>
      <c r="H291" s="30"/>
      <c r="I291" s="28"/>
    </row>
    <row r="292" spans="1:9" ht="15" hidden="1" customHeight="1">
      <c r="A292" s="28"/>
      <c r="B292" s="28"/>
      <c r="C292" s="28"/>
      <c r="D292" s="28"/>
      <c r="E292" s="28"/>
      <c r="F292" s="28"/>
      <c r="G292" s="28"/>
      <c r="H292" s="30"/>
      <c r="I292" s="28"/>
    </row>
    <row r="293" spans="1:9" ht="15" hidden="1" customHeight="1">
      <c r="A293" s="28"/>
      <c r="B293" s="28"/>
      <c r="C293" s="28"/>
      <c r="D293" s="28"/>
      <c r="E293" s="28"/>
      <c r="F293" s="28"/>
      <c r="G293" s="28"/>
      <c r="H293" s="30"/>
      <c r="I293" s="28"/>
    </row>
    <row r="294" spans="1:9" ht="15" hidden="1" customHeight="1">
      <c r="A294" s="28"/>
      <c r="B294" s="28"/>
      <c r="C294" s="28"/>
      <c r="D294" s="28"/>
      <c r="E294" s="28"/>
      <c r="F294" s="28"/>
      <c r="G294" s="28"/>
      <c r="H294" s="30"/>
      <c r="I294" s="28"/>
    </row>
    <row r="295" spans="1:9" ht="15" hidden="1" customHeight="1">
      <c r="A295" s="28"/>
      <c r="B295" s="28"/>
      <c r="C295" s="28"/>
      <c r="D295" s="28"/>
      <c r="E295" s="28"/>
      <c r="F295" s="28"/>
      <c r="G295" s="28"/>
      <c r="H295" s="30"/>
      <c r="I295" s="28"/>
    </row>
    <row r="296" spans="1:9" ht="15" hidden="1" customHeight="1">
      <c r="A296" s="28"/>
      <c r="B296" s="28"/>
      <c r="C296" s="28"/>
      <c r="D296" s="28"/>
      <c r="E296" s="28"/>
      <c r="F296" s="28"/>
      <c r="G296" s="28"/>
      <c r="H296" s="30"/>
      <c r="I296" s="28"/>
    </row>
    <row r="297" spans="1:9" ht="15" hidden="1" customHeight="1">
      <c r="A297" s="28"/>
      <c r="B297" s="28"/>
      <c r="C297" s="28"/>
      <c r="D297" s="28"/>
      <c r="E297" s="28"/>
      <c r="F297" s="28"/>
      <c r="G297" s="28"/>
      <c r="H297" s="30"/>
      <c r="I297" s="28"/>
    </row>
    <row r="298" spans="1:9" ht="15" hidden="1" customHeight="1">
      <c r="A298" s="28"/>
      <c r="B298" s="28"/>
      <c r="C298" s="28"/>
      <c r="D298" s="28"/>
      <c r="E298" s="28"/>
      <c r="F298" s="28"/>
      <c r="G298" s="28"/>
      <c r="H298" s="30"/>
      <c r="I298" s="28"/>
    </row>
    <row r="299" spans="1:9" ht="15" hidden="1" customHeight="1">
      <c r="A299" s="28"/>
      <c r="B299" s="28"/>
      <c r="C299" s="28"/>
      <c r="D299" s="28"/>
      <c r="E299" s="28"/>
      <c r="F299" s="28"/>
      <c r="G299" s="28"/>
      <c r="H299" s="30"/>
      <c r="I299" s="28"/>
    </row>
    <row r="300" spans="1:9" ht="15" hidden="1" customHeight="1">
      <c r="A300" s="28"/>
      <c r="B300" s="28"/>
      <c r="C300" s="28"/>
      <c r="D300" s="28"/>
      <c r="E300" s="28"/>
      <c r="F300" s="28"/>
      <c r="G300" s="28"/>
      <c r="H300" s="30"/>
      <c r="I300" s="28"/>
    </row>
    <row r="301" spans="1:9" ht="15" hidden="1" customHeight="1">
      <c r="A301" s="28"/>
      <c r="B301" s="28"/>
      <c r="C301" s="28"/>
      <c r="D301" s="28"/>
      <c r="E301" s="28"/>
      <c r="F301" s="28"/>
      <c r="G301" s="28"/>
      <c r="H301" s="30"/>
      <c r="I301" s="28"/>
    </row>
    <row r="302" spans="1:9" ht="15" hidden="1" customHeight="1">
      <c r="A302" s="28"/>
      <c r="B302" s="28"/>
      <c r="C302" s="28"/>
      <c r="D302" s="28"/>
      <c r="E302" s="28"/>
      <c r="F302" s="28"/>
      <c r="G302" s="28"/>
      <c r="H302" s="30"/>
      <c r="I302" s="28"/>
    </row>
    <row r="303" spans="1:9" ht="15" hidden="1" customHeight="1">
      <c r="A303" s="28"/>
      <c r="B303" s="28"/>
      <c r="C303" s="28"/>
      <c r="D303" s="28"/>
      <c r="E303" s="28"/>
      <c r="F303" s="28"/>
      <c r="G303" s="28"/>
      <c r="H303" s="30"/>
      <c r="I303" s="28"/>
    </row>
    <row r="304" spans="1:9" ht="15" hidden="1" customHeight="1">
      <c r="A304" s="28"/>
      <c r="B304" s="28"/>
      <c r="C304" s="28"/>
      <c r="D304" s="28"/>
      <c r="E304" s="28"/>
      <c r="F304" s="28"/>
      <c r="G304" s="28"/>
      <c r="H304" s="30"/>
      <c r="I304" s="28"/>
    </row>
    <row r="305" spans="1:9" ht="15" hidden="1" customHeight="1">
      <c r="A305" s="28"/>
      <c r="B305" s="28"/>
      <c r="C305" s="28"/>
      <c r="D305" s="28"/>
      <c r="E305" s="28"/>
      <c r="F305" s="28"/>
      <c r="G305" s="28"/>
      <c r="H305" s="30"/>
      <c r="I305" s="28"/>
    </row>
    <row r="306" spans="1:9" ht="15" hidden="1" customHeight="1">
      <c r="A306" s="28"/>
      <c r="B306" s="28"/>
      <c r="C306" s="28"/>
      <c r="D306" s="28"/>
      <c r="E306" s="28"/>
      <c r="F306" s="28"/>
      <c r="G306" s="28"/>
      <c r="H306" s="30"/>
      <c r="I306" s="28"/>
    </row>
    <row r="307" spans="1:9" ht="15" hidden="1" customHeight="1">
      <c r="A307" s="28"/>
      <c r="B307" s="28"/>
      <c r="C307" s="28"/>
      <c r="D307" s="28"/>
      <c r="E307" s="28"/>
      <c r="F307" s="28"/>
      <c r="G307" s="28"/>
      <c r="H307" s="30"/>
      <c r="I307" s="28"/>
    </row>
    <row r="308" spans="1:9" ht="15" hidden="1" customHeight="1">
      <c r="A308" s="28"/>
      <c r="B308" s="28"/>
      <c r="C308" s="28"/>
      <c r="D308" s="28"/>
      <c r="E308" s="28"/>
      <c r="F308" s="28"/>
      <c r="G308" s="28"/>
      <c r="H308" s="30"/>
      <c r="I308" s="28"/>
    </row>
    <row r="309" spans="1:9" ht="15" hidden="1" customHeight="1">
      <c r="A309" s="28"/>
      <c r="B309" s="28"/>
      <c r="C309" s="28"/>
      <c r="D309" s="28"/>
      <c r="E309" s="28"/>
      <c r="F309" s="28"/>
      <c r="G309" s="28"/>
      <c r="H309" s="30"/>
      <c r="I309" s="28"/>
    </row>
    <row r="310" spans="1:9" ht="15" hidden="1" customHeight="1">
      <c r="A310" s="28"/>
      <c r="B310" s="28"/>
      <c r="C310" s="28"/>
      <c r="D310" s="28"/>
      <c r="E310" s="28"/>
      <c r="F310" s="28"/>
      <c r="G310" s="28"/>
      <c r="H310" s="30"/>
      <c r="I310" s="28"/>
    </row>
    <row r="311" spans="1:9" ht="15" hidden="1" customHeight="1">
      <c r="A311" s="28"/>
      <c r="B311" s="28"/>
      <c r="C311" s="28"/>
      <c r="D311" s="28"/>
      <c r="E311" s="28"/>
      <c r="F311" s="28"/>
      <c r="G311" s="28"/>
      <c r="H311" s="30"/>
      <c r="I311" s="28"/>
    </row>
    <row r="312" spans="1:9" ht="15" hidden="1" customHeight="1">
      <c r="A312" s="28"/>
      <c r="B312" s="28"/>
      <c r="C312" s="28"/>
      <c r="D312" s="28"/>
      <c r="E312" s="28"/>
      <c r="F312" s="28"/>
      <c r="G312" s="28"/>
      <c r="H312" s="30"/>
      <c r="I312" s="28"/>
    </row>
    <row r="313" spans="1:9" ht="15" hidden="1" customHeight="1">
      <c r="A313" s="28"/>
      <c r="B313" s="28"/>
      <c r="C313" s="28"/>
      <c r="D313" s="28"/>
      <c r="E313" s="28"/>
      <c r="F313" s="28"/>
      <c r="G313" s="28"/>
      <c r="H313" s="30"/>
      <c r="I313" s="28"/>
    </row>
    <row r="314" spans="1:9" ht="15" hidden="1" customHeight="1">
      <c r="A314" s="28"/>
      <c r="B314" s="28"/>
      <c r="C314" s="28"/>
      <c r="D314" s="28"/>
      <c r="E314" s="28"/>
      <c r="F314" s="28"/>
      <c r="G314" s="28"/>
      <c r="H314" s="30"/>
      <c r="I314" s="28"/>
    </row>
    <row r="315" spans="1:9" ht="15" hidden="1" customHeight="1">
      <c r="A315" s="28"/>
      <c r="B315" s="28"/>
      <c r="C315" s="28"/>
      <c r="D315" s="28"/>
      <c r="E315" s="28"/>
      <c r="F315" s="28"/>
      <c r="G315" s="28"/>
      <c r="H315" s="30"/>
      <c r="I315" s="28"/>
    </row>
    <row r="316" spans="1:9"/>
    <row r="317" spans="1:9"/>
    <row r="318" spans="1:9"/>
  </sheetData>
  <sheetProtection algorithmName="SHA-512" hashValue="bOQmTZEMOygEJr64if+t0zSOsKgAoBxGYEP20P8T74LWp0XECqGWjGU56akcypRFSMlQPG5TFRj+9p8SgsC6aQ==" saltValue="q8cyxIWiX6ljW+sxKfhmMQ==" spinCount="100000" sheet="1" formatRows="0"/>
  <mergeCells count="26">
    <mergeCell ref="C176:H176"/>
    <mergeCell ref="C21:H21"/>
    <mergeCell ref="C174:H174"/>
    <mergeCell ref="C209:H209"/>
    <mergeCell ref="C178:H178"/>
    <mergeCell ref="C181:H181"/>
    <mergeCell ref="C186:H186"/>
    <mergeCell ref="C191:H191"/>
    <mergeCell ref="C196:H196"/>
    <mergeCell ref="C199:H199"/>
    <mergeCell ref="C204:H204"/>
    <mergeCell ref="C23:H23"/>
    <mergeCell ref="C29:H29"/>
    <mergeCell ref="C72:H72"/>
    <mergeCell ref="C2:H2"/>
    <mergeCell ref="C5:H5"/>
    <mergeCell ref="C4:F4"/>
    <mergeCell ref="C8:H8"/>
    <mergeCell ref="G4:H4"/>
    <mergeCell ref="C7:H7"/>
    <mergeCell ref="D15:H15"/>
    <mergeCell ref="D17:H17"/>
    <mergeCell ref="D19:H19"/>
    <mergeCell ref="C9:H9"/>
    <mergeCell ref="C11:H11"/>
    <mergeCell ref="C13:H13"/>
  </mergeCells>
  <conditionalFormatting sqref="C21">
    <cfRule type="expression" dxfId="161" priority="1946">
      <formula>OR(ISBLANK($D$19),$D$19="All",$D$19="None")</formula>
    </cfRule>
  </conditionalFormatting>
  <conditionalFormatting sqref="C73:H172">
    <cfRule type="expression" dxfId="157" priority="1944">
      <formula>OR($D$17="",$D$17="No")</formula>
    </cfRule>
  </conditionalFormatting>
  <dataValidations count="2">
    <dataValidation type="list" allowBlank="1" showInputMessage="1" showErrorMessage="1" sqref="I174:I177" xr:uid="{DBB51E28-55D1-4414-BE73-E76ECB068970}">
      <formula1>INDIRECT("SecondaryBuildingUse")</formula1>
    </dataValidation>
    <dataValidation type="list" allowBlank="1" showInputMessage="1" showErrorMessage="1" sqref="I174:I177" xr:uid="{8FF1C1E0-F4DA-41D4-8B87-0F992E3D57A7}">
      <formula1>INDIRECT("ConstructionType")</formula1>
    </dataValidation>
  </dataValidations>
  <pageMargins left="0.7" right="0.7" top="0.75" bottom="0.75" header="0.3" footer="0.3"/>
  <pageSetup orientation="landscape" r:id="rId1"/>
  <rowBreaks count="5" manualBreakCount="5">
    <brk id="14" max="8" man="1"/>
    <brk id="28" max="8" man="1"/>
    <brk id="71" max="8" man="1"/>
    <brk id="173" max="8" man="1"/>
    <brk id="195" max="8"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 id="{524E81B2-6BB7-40DB-8726-A8EDB4C99445}">
            <xm:f>OR('3. EC Modelling Info'!$F$90="No",ISBLANK('3. EC Modelling Info'!$F$90))</xm:f>
            <x14:dxf>
              <font>
                <color theme="0"/>
              </font>
              <fill>
                <patternFill>
                  <bgColor theme="0" tint="-0.24994659260841701"/>
                </patternFill>
              </fill>
            </x14:dxf>
          </x14:cfRule>
          <xm:sqref>C23 C29 C72</xm:sqref>
        </x14:conditionalFormatting>
        <x14:conditionalFormatting xmlns:xm="http://schemas.microsoft.com/office/excel/2006/main">
          <x14:cfRule type="expression" priority="154" id="{E97C2880-F70A-4BC1-AD38-38F467EDE608}">
            <xm:f>NOT('4. Results &amp; Compliance'!$H$13='Backend (to be hidden)'!$CL$12)</xm:f>
            <x14:dxf>
              <font>
                <color theme="0"/>
              </font>
              <fill>
                <patternFill>
                  <bgColor theme="0" tint="-0.24994659260841701"/>
                </patternFill>
              </fill>
            </x14:dxf>
          </x14:cfRule>
          <xm:sqref>C196</xm:sqref>
        </x14:conditionalFormatting>
        <x14:conditionalFormatting xmlns:xm="http://schemas.microsoft.com/office/excel/2006/main">
          <x14:cfRule type="expression" priority="2" id="{B3359470-3AD5-4F73-B437-82D49D6BE687}">
            <xm:f>OR('3. EC Modelling Info'!$F$90="No",ISBLANK('3. EC Modelling Info'!$F$90))</xm:f>
            <x14:dxf>
              <font>
                <color theme="0" tint="-0.14996795556505021"/>
              </font>
              <fill>
                <patternFill>
                  <bgColor theme="0" tint="-0.14996795556505021"/>
                </patternFill>
              </fill>
              <border>
                <left/>
                <right/>
                <top/>
                <bottom/>
              </border>
            </x14:dxf>
          </x14:cfRule>
          <xm:sqref>C17:H21 C25:H27 C30:H70 C73:H172</xm:sqref>
        </x14:conditionalFormatting>
        <x14:conditionalFormatting xmlns:xm="http://schemas.microsoft.com/office/excel/2006/main">
          <x14:cfRule type="expression" priority="149" id="{C8F10918-6675-407E-9A6D-6C0676CAE3BA}">
            <xm:f>'4. Results &amp; Compliance'!$H$13='Backend (to be hidden)'!$CL$11</xm:f>
            <x14:dxf>
              <font>
                <color theme="0" tint="-0.14996795556505021"/>
              </font>
              <fill>
                <patternFill>
                  <bgColor theme="0" tint="-0.14996795556505021"/>
                </patternFill>
              </fill>
              <border>
                <left/>
                <right/>
                <top/>
                <bottom/>
                <vertical/>
                <horizontal/>
              </border>
            </x14:dxf>
          </x14:cfRule>
          <xm:sqref>C198:H212</xm:sqref>
        </x14:conditionalFormatting>
        <x14:conditionalFormatting xmlns:xm="http://schemas.microsoft.com/office/excel/2006/main">
          <x14:cfRule type="expression" priority="4" id="{DE37D90A-D382-43DC-A637-D9EFE5629B2C}">
            <xm:f>OR('4. Results &amp; Compliance'!$H$13="",'3. EC Modelling Info'!$F$59="",AND('4. Results &amp; Compliance'!$H$13='Backend (to be hidden)'!$CL$11,'3. EC Modelling Info'!$F$59='Backend (to be hidden)'!$BR$3))</xm:f>
            <x14:dxf>
              <font>
                <color theme="0" tint="-0.14996795556505021"/>
              </font>
              <fill>
                <patternFill>
                  <bgColor theme="0" tint="-0.14996795556505021"/>
                </patternFill>
              </fill>
              <border>
                <left/>
                <right/>
                <top/>
                <bottom/>
                <vertical/>
                <horizontal/>
              </border>
            </x14:dxf>
          </x14:cfRule>
          <xm:sqref>H180 H183:H184 H188:H189 H193:H194 H198 H201:H202 H206:H207 H211:H212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BF65E157-9E05-417F-9127-E2BAC5723E33}">
          <x14:formula1>
            <xm:f>'Backend (to be hidden)'!$CA$2:$CA$3</xm:f>
          </x14:formula1>
          <xm:sqref>D17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0F668-2A7C-4C6F-A632-A8450CBBD5DA}">
  <sheetPr>
    <tabColor theme="8" tint="0.39997558519241921"/>
    <outlinePr applyStyles="1" summaryBelow="0"/>
  </sheetPr>
  <dimension ref="A1:S593"/>
  <sheetViews>
    <sheetView workbookViewId="0">
      <selection activeCell="I24" sqref="I24"/>
    </sheetView>
  </sheetViews>
  <sheetFormatPr defaultColWidth="0" defaultRowHeight="15" customHeight="1" zeroHeight="1" outlineLevelRow="2"/>
  <cols>
    <col min="1" max="2" width="0.7109375" style="28" customWidth="1"/>
    <col min="3" max="9" width="13.85546875" style="28" customWidth="1"/>
    <col min="10" max="10" width="1.42578125" style="28" customWidth="1"/>
    <col min="11" max="11" width="20.7109375" style="30" customWidth="1"/>
    <col min="12" max="13" width="20.7109375" style="28" customWidth="1"/>
    <col min="14" max="14" width="1.140625" style="28" hidden="1" customWidth="1"/>
    <col min="15" max="15" width="1" style="28" hidden="1" customWidth="1"/>
    <col min="16" max="17" width="10.7109375" style="28" hidden="1" customWidth="1"/>
    <col min="18" max="18" width="10.7109375" style="446" hidden="1" customWidth="1"/>
    <col min="19" max="19" width="10.7109375" style="28" hidden="1" customWidth="1"/>
    <col min="20" max="16384" width="0" style="28" hidden="1"/>
  </cols>
  <sheetData>
    <row r="1" spans="1:19" s="33" customFormat="1" ht="15" customHeight="1" thickBot="1">
      <c r="A1" s="29"/>
      <c r="B1" s="29"/>
      <c r="C1" s="29"/>
      <c r="D1" s="29"/>
      <c r="E1" s="29"/>
      <c r="F1" s="29"/>
      <c r="G1" s="29"/>
      <c r="H1" s="29"/>
      <c r="I1" s="29"/>
      <c r="J1" s="439"/>
      <c r="K1" s="30"/>
      <c r="R1" s="446"/>
    </row>
    <row r="2" spans="1:19" s="33" customFormat="1" ht="30.6" customHeight="1">
      <c r="A2" s="29"/>
      <c r="B2" s="938" t="s">
        <v>218</v>
      </c>
      <c r="C2" s="758"/>
      <c r="D2" s="758"/>
      <c r="E2" s="758"/>
      <c r="F2" s="758"/>
      <c r="G2" s="758"/>
      <c r="H2" s="758"/>
      <c r="I2" s="758"/>
      <c r="J2" s="759"/>
      <c r="K2" s="19"/>
      <c r="L2" s="4"/>
      <c r="M2" s="4"/>
      <c r="N2" s="32"/>
      <c r="O2" s="32"/>
      <c r="P2" s="32"/>
      <c r="Q2" s="32"/>
      <c r="R2" s="450"/>
      <c r="S2" s="32"/>
    </row>
    <row r="3" spans="1:19" s="33" customFormat="1" ht="15" customHeight="1">
      <c r="A3" s="29"/>
      <c r="B3" s="34"/>
      <c r="C3" s="361"/>
      <c r="D3" s="361"/>
      <c r="E3" s="361"/>
      <c r="F3" s="362"/>
      <c r="G3" s="362"/>
      <c r="H3" s="362"/>
      <c r="I3" s="363" t="s">
        <v>545</v>
      </c>
      <c r="J3" s="440"/>
      <c r="K3" s="536"/>
      <c r="L3" s="4"/>
      <c r="M3" s="4"/>
      <c r="N3" s="32"/>
      <c r="O3" s="32"/>
      <c r="P3" s="32"/>
      <c r="Q3" s="32"/>
      <c r="R3" s="450"/>
      <c r="S3" s="32"/>
    </row>
    <row r="4" spans="1:19" s="33" customFormat="1" ht="15" customHeight="1">
      <c r="A4" s="29"/>
      <c r="B4" s="39"/>
      <c r="C4" s="338"/>
      <c r="D4" s="338"/>
      <c r="E4" s="338"/>
      <c r="F4" s="569" t="s">
        <v>1244</v>
      </c>
      <c r="G4" s="338"/>
      <c r="H4" s="338"/>
      <c r="I4" s="363" t="s">
        <v>1611</v>
      </c>
      <c r="J4" s="441"/>
      <c r="K4" s="19"/>
      <c r="L4" s="4"/>
      <c r="M4" s="4"/>
      <c r="N4" s="32"/>
      <c r="O4" s="32"/>
      <c r="P4" s="32"/>
      <c r="Q4" s="32"/>
      <c r="R4" s="450"/>
      <c r="S4" s="32"/>
    </row>
    <row r="5" spans="1:19" s="33" customFormat="1" ht="15" customHeight="1">
      <c r="A5" s="29"/>
      <c r="B5" s="39"/>
      <c r="C5" s="933" t="s">
        <v>574</v>
      </c>
      <c r="D5" s="933"/>
      <c r="E5" s="933"/>
      <c r="F5" s="933"/>
      <c r="G5" s="933"/>
      <c r="H5" s="933"/>
      <c r="I5" s="933"/>
      <c r="J5" s="441"/>
      <c r="K5" s="19"/>
      <c r="L5" s="4"/>
      <c r="M5" s="4"/>
      <c r="N5" s="32"/>
      <c r="O5" s="32"/>
      <c r="P5" s="32"/>
      <c r="Q5" s="32"/>
      <c r="R5" s="450"/>
      <c r="S5" s="32"/>
    </row>
    <row r="6" spans="1:19" ht="8.1" customHeight="1" thickBot="1">
      <c r="A6" s="29"/>
      <c r="B6" s="72"/>
      <c r="C6" s="44"/>
      <c r="D6" s="44"/>
      <c r="E6" s="45"/>
      <c r="F6" s="45"/>
      <c r="G6" s="45"/>
      <c r="H6" s="45"/>
      <c r="I6" s="45"/>
      <c r="J6" s="442"/>
      <c r="K6" s="17"/>
      <c r="L6" s="6"/>
      <c r="M6" s="6"/>
    </row>
    <row r="7" spans="1:19" ht="15" customHeight="1">
      <c r="A7" s="29"/>
      <c r="B7" s="185"/>
      <c r="C7" s="777" t="s">
        <v>0</v>
      </c>
      <c r="D7" s="777"/>
      <c r="E7" s="777"/>
      <c r="F7" s="777"/>
      <c r="G7" s="777"/>
      <c r="H7" s="777"/>
      <c r="I7" s="777"/>
      <c r="J7" s="509"/>
      <c r="K7" s="17"/>
      <c r="L7" s="6"/>
      <c r="M7" s="6"/>
    </row>
    <row r="8" spans="1:19" ht="8.1" customHeight="1">
      <c r="A8" s="29"/>
      <c r="B8" s="52"/>
      <c r="C8" s="566"/>
      <c r="D8" s="566"/>
      <c r="E8" s="565"/>
      <c r="F8" s="565"/>
      <c r="G8" s="565"/>
      <c r="H8" s="565"/>
      <c r="I8" s="565"/>
      <c r="J8" s="444"/>
      <c r="K8" s="17"/>
      <c r="L8" s="6"/>
      <c r="M8" s="6"/>
    </row>
    <row r="9" spans="1:19" ht="125.25" customHeight="1">
      <c r="A9" s="29"/>
      <c r="B9" s="52"/>
      <c r="C9" s="819" t="s">
        <v>1499</v>
      </c>
      <c r="D9" s="819"/>
      <c r="E9" s="819"/>
      <c r="F9" s="819"/>
      <c r="G9" s="819"/>
      <c r="H9" s="819"/>
      <c r="I9" s="819"/>
      <c r="J9" s="444"/>
      <c r="K9" s="19"/>
      <c r="L9" s="6"/>
      <c r="M9" s="6"/>
    </row>
    <row r="10" spans="1:19" ht="42" customHeight="1">
      <c r="B10" s="148"/>
      <c r="C10" s="935" t="s">
        <v>1609</v>
      </c>
      <c r="D10" s="935"/>
      <c r="E10" s="935"/>
      <c r="F10" s="935"/>
      <c r="G10" s="935"/>
      <c r="H10" s="935"/>
      <c r="I10" s="935"/>
      <c r="J10" s="150"/>
      <c r="K10" s="19"/>
      <c r="L10" s="6"/>
      <c r="M10" s="6"/>
    </row>
    <row r="11" spans="1:19" ht="8.1" customHeight="1" thickBot="1">
      <c r="A11" s="29"/>
      <c r="B11" s="55"/>
      <c r="C11" s="574"/>
      <c r="D11" s="574"/>
      <c r="E11" s="574"/>
      <c r="F11" s="574"/>
      <c r="G11" s="574"/>
      <c r="H11" s="574"/>
      <c r="I11" s="574"/>
      <c r="J11" s="445"/>
      <c r="K11" s="19"/>
      <c r="L11" s="6"/>
      <c r="M11" s="6"/>
    </row>
    <row r="12" spans="1:19" ht="15" customHeight="1">
      <c r="A12" s="29"/>
      <c r="B12" s="52"/>
      <c r="C12" s="839" t="s">
        <v>1496</v>
      </c>
      <c r="D12" s="839"/>
      <c r="E12" s="839"/>
      <c r="F12" s="839"/>
      <c r="G12" s="839"/>
      <c r="H12" s="839"/>
      <c r="I12" s="839"/>
      <c r="J12" s="444"/>
      <c r="K12" s="17"/>
      <c r="L12" s="6"/>
      <c r="M12" s="6"/>
    </row>
    <row r="13" spans="1:19" ht="8.1" customHeight="1">
      <c r="A13" s="29"/>
      <c r="B13" s="52"/>
      <c r="C13" s="603"/>
      <c r="D13" s="603"/>
      <c r="E13" s="603"/>
      <c r="F13" s="603"/>
      <c r="G13" s="603"/>
      <c r="H13" s="603"/>
      <c r="I13" s="603"/>
      <c r="J13" s="444"/>
      <c r="K13" s="17"/>
      <c r="L13" s="6"/>
      <c r="M13" s="6"/>
    </row>
    <row r="14" spans="1:19" ht="30" customHeight="1">
      <c r="A14" s="29"/>
      <c r="B14" s="52"/>
      <c r="C14" s="834" t="s">
        <v>1245</v>
      </c>
      <c r="D14" s="834"/>
      <c r="E14" s="834"/>
      <c r="F14" s="834"/>
      <c r="G14" s="834"/>
      <c r="H14" s="834"/>
      <c r="I14" s="562" t="str">
        <f>'3. EC Modelling Info'!$F$120</f>
        <v>Yes</v>
      </c>
      <c r="J14" s="444"/>
      <c r="K14" s="17"/>
      <c r="L14" s="6"/>
      <c r="M14" s="6"/>
    </row>
    <row r="15" spans="1:19" ht="8.1" customHeight="1">
      <c r="A15" s="29"/>
      <c r="B15" s="52"/>
      <c r="C15" s="508"/>
      <c r="D15" s="508"/>
      <c r="E15" s="508"/>
      <c r="F15" s="508"/>
      <c r="G15" s="508"/>
      <c r="H15" s="508"/>
      <c r="I15" s="508"/>
      <c r="J15" s="444"/>
      <c r="K15" s="17"/>
      <c r="L15" s="6"/>
      <c r="M15" s="6"/>
    </row>
    <row r="16" spans="1:19" ht="15.75">
      <c r="A16" s="29"/>
      <c r="B16" s="52"/>
      <c r="C16" s="602"/>
      <c r="D16" s="927" t="s">
        <v>1495</v>
      </c>
      <c r="E16" s="927"/>
      <c r="F16" s="927"/>
      <c r="G16" s="927"/>
      <c r="H16" s="927"/>
      <c r="I16" s="927"/>
      <c r="J16" s="444"/>
      <c r="K16" s="17"/>
      <c r="L16" s="6"/>
      <c r="M16" s="6"/>
    </row>
    <row r="17" spans="1:13" ht="30" customHeight="1">
      <c r="A17" s="29"/>
      <c r="B17" s="52"/>
      <c r="C17" s="602"/>
      <c r="D17" s="947" t="s">
        <v>1498</v>
      </c>
      <c r="E17" s="947"/>
      <c r="F17" s="947" t="s">
        <v>1513</v>
      </c>
      <c r="G17" s="947"/>
      <c r="H17" s="947" t="s">
        <v>1514</v>
      </c>
      <c r="I17" s="947"/>
      <c r="J17" s="444"/>
      <c r="K17" s="17"/>
      <c r="L17" s="6"/>
      <c r="M17" s="6"/>
    </row>
    <row r="18" spans="1:13" ht="45" customHeight="1">
      <c r="A18" s="29"/>
      <c r="B18" s="52"/>
      <c r="C18" s="602" t="s">
        <v>1504</v>
      </c>
      <c r="D18" s="945">
        <v>0.05</v>
      </c>
      <c r="E18" s="946"/>
      <c r="F18" s="948">
        <f>D18*'Backend (to be hidden)'!$CQ$11</f>
        <v>20</v>
      </c>
      <c r="G18" s="949"/>
      <c r="H18" s="950">
        <f>IF(ISBLANK('2. Project Info'!$D$41),"Input GFA on sheet '2.Project Info'",'7. ILCs - Design '!F18*'2. Project Info'!$D$41)</f>
        <v>100000</v>
      </c>
      <c r="I18" s="951"/>
      <c r="J18" s="444"/>
      <c r="K18" s="17"/>
      <c r="L18" s="6"/>
      <c r="M18" s="6"/>
    </row>
    <row r="19" spans="1:13" ht="30" customHeight="1">
      <c r="A19" s="29"/>
      <c r="B19" s="52"/>
      <c r="C19" s="602" t="s">
        <v>1497</v>
      </c>
      <c r="D19" s="945">
        <f>'Backend (to be hidden)'!$CJ$36</f>
        <v>0.05</v>
      </c>
      <c r="E19" s="946"/>
      <c r="F19" s="948">
        <f>IF(I14="Yes",IF(ISNUMBER(D19),D19*'Backend (to be hidden)'!$CQ$11,'Backend (to be hidden)'!CM29),"Not pursued")</f>
        <v>20</v>
      </c>
      <c r="G19" s="949"/>
      <c r="H19" s="950">
        <f>IF(I14="Yes",IF(F19='Backend (to be hidden)'!CM29,'Backend (to be hidden)'!CM29,IF(ISBLANK('2. Project Info'!$D$41),"Input GFA on sheet '2.Project Info'",'7. ILCs - Design '!F19*'2. Project Info'!$D$41)),"Not pursued")</f>
        <v>100000</v>
      </c>
      <c r="I19" s="951"/>
      <c r="J19" s="444"/>
      <c r="K19" s="17"/>
      <c r="L19" s="6"/>
      <c r="M19" s="6"/>
    </row>
    <row r="20" spans="1:13" ht="15" customHeight="1" thickBot="1">
      <c r="A20" s="29"/>
      <c r="B20" s="55"/>
      <c r="C20" s="56"/>
      <c r="D20" s="56"/>
      <c r="E20" s="56"/>
      <c r="F20" s="56"/>
      <c r="G20" s="56"/>
      <c r="H20" s="56"/>
      <c r="I20" s="56"/>
      <c r="J20" s="445"/>
      <c r="K20" s="17"/>
      <c r="L20" s="6"/>
      <c r="M20" s="6"/>
    </row>
    <row r="21" spans="1:13" ht="15" customHeight="1">
      <c r="A21" s="29"/>
      <c r="B21" s="185"/>
      <c r="C21" s="777" t="s">
        <v>1140</v>
      </c>
      <c r="D21" s="777"/>
      <c r="E21" s="777"/>
      <c r="F21" s="777"/>
      <c r="G21" s="777"/>
      <c r="H21" s="777"/>
      <c r="I21" s="777"/>
      <c r="J21" s="443"/>
      <c r="K21" s="17"/>
      <c r="L21" s="6"/>
      <c r="M21" s="6"/>
    </row>
    <row r="22" spans="1:13" ht="30" customHeight="1">
      <c r="A22" s="29"/>
      <c r="B22" s="52"/>
      <c r="C22" s="821" t="s">
        <v>1612</v>
      </c>
      <c r="D22" s="821"/>
      <c r="E22" s="821"/>
      <c r="F22" s="821"/>
      <c r="G22" s="821"/>
      <c r="H22" s="821"/>
      <c r="I22" s="821"/>
      <c r="J22" s="444"/>
      <c r="K22" s="17"/>
      <c r="L22" s="6"/>
      <c r="M22" s="6"/>
    </row>
    <row r="23" spans="1:13" ht="8.1" customHeight="1">
      <c r="A23" s="29"/>
      <c r="B23" s="52"/>
      <c r="C23" s="393"/>
      <c r="D23" s="393"/>
      <c r="E23" s="393"/>
      <c r="F23" s="393"/>
      <c r="G23" s="393"/>
      <c r="H23" s="393"/>
      <c r="I23" s="393"/>
      <c r="J23" s="444"/>
      <c r="K23" s="17"/>
      <c r="L23" s="6"/>
      <c r="M23" s="6"/>
    </row>
    <row r="24" spans="1:13" ht="15" customHeight="1">
      <c r="A24" s="29"/>
      <c r="B24" s="52"/>
      <c r="C24" s="379" t="s">
        <v>1383</v>
      </c>
      <c r="D24" s="379"/>
      <c r="E24" s="379"/>
      <c r="F24" s="379"/>
      <c r="G24" s="379"/>
      <c r="H24" s="380" t="s">
        <v>1243</v>
      </c>
      <c r="I24" s="739" t="s">
        <v>81</v>
      </c>
      <c r="J24" s="444"/>
      <c r="K24" s="19"/>
      <c r="L24" s="6"/>
      <c r="M24" s="6"/>
    </row>
    <row r="25" spans="1:13" ht="8.1" customHeight="1">
      <c r="A25" s="29"/>
      <c r="B25" s="52"/>
      <c r="C25" s="35"/>
      <c r="D25" s="35"/>
      <c r="E25" s="35"/>
      <c r="F25" s="35"/>
      <c r="G25" s="35"/>
      <c r="H25" s="35"/>
      <c r="I25" s="495"/>
      <c r="J25" s="444"/>
      <c r="K25" s="17"/>
      <c r="L25" s="6"/>
      <c r="M25" s="6"/>
    </row>
    <row r="26" spans="1:13" ht="30" customHeight="1">
      <c r="A26" s="29"/>
      <c r="B26" s="52"/>
      <c r="C26" s="35"/>
      <c r="D26" s="35"/>
      <c r="E26" s="35"/>
      <c r="F26" s="35"/>
      <c r="G26" s="254" t="str">
        <f>_xlfn.CONCAT("Total ILCs for ",C24)</f>
        <v>Total ILCs for a.i Report Optional Building Element Scope (Max 5%)</v>
      </c>
      <c r="H26" s="930">
        <f>IF(AND(SUM(E45:I45,E58:I58)&lt;1,COUNTA($C$60:$C$64,C68)&gt;5),IF((SUMIFS(E34:I34,E35:I35,"Yes")+SUMIFS(E47:I47,E48:I48,"Yes"))&gt;0.05,0.05,(SUMIFS(E34:I34,E35:I35,"Yes")+SUMIFS(E47:I47,E48:I48,"Yes"))),'Backend (to be hidden)'!$CM$29)</f>
        <v>0.03</v>
      </c>
      <c r="I26" s="931"/>
      <c r="J26" s="444"/>
      <c r="K26" s="19"/>
      <c r="L26" s="6"/>
      <c r="M26" s="6"/>
    </row>
    <row r="27" spans="1:13" ht="8.1" customHeight="1">
      <c r="A27" s="29"/>
      <c r="B27" s="52"/>
      <c r="C27" s="192"/>
      <c r="D27" s="192"/>
      <c r="E27" s="192"/>
      <c r="F27" s="398"/>
      <c r="G27" s="398"/>
      <c r="H27" s="398"/>
      <c r="I27" s="398"/>
      <c r="J27" s="444"/>
      <c r="K27" s="17"/>
      <c r="L27" s="6"/>
      <c r="M27" s="6"/>
    </row>
    <row r="28" spans="1:13" ht="76.5" customHeight="1">
      <c r="A28" s="29"/>
      <c r="B28" s="141"/>
      <c r="C28" s="821" t="s">
        <v>1447</v>
      </c>
      <c r="D28" s="821"/>
      <c r="E28" s="821"/>
      <c r="F28" s="821"/>
      <c r="G28" s="821"/>
      <c r="H28" s="821"/>
      <c r="I28" s="821"/>
      <c r="J28" s="444"/>
      <c r="K28" s="17"/>
      <c r="L28" s="537"/>
      <c r="M28" s="6"/>
    </row>
    <row r="29" spans="1:13" s="451" customFormat="1" ht="20.100000000000001" customHeight="1">
      <c r="A29" s="459"/>
      <c r="B29" s="460"/>
      <c r="C29" s="694" t="s">
        <v>1240</v>
      </c>
      <c r="D29" s="456"/>
      <c r="E29" s="456"/>
      <c r="F29" s="456"/>
      <c r="G29" s="456"/>
      <c r="H29" s="456"/>
      <c r="I29" s="456"/>
      <c r="J29" s="436"/>
      <c r="K29" s="538"/>
      <c r="L29" s="537"/>
      <c r="M29" s="537"/>
    </row>
    <row r="30" spans="1:13" s="197" customFormat="1" ht="8.1" customHeight="1" outlineLevel="1">
      <c r="A30" s="605"/>
      <c r="B30" s="606"/>
      <c r="C30" s="354"/>
      <c r="D30" s="607"/>
      <c r="E30" s="607"/>
      <c r="F30" s="607"/>
      <c r="G30" s="607"/>
      <c r="H30" s="607"/>
      <c r="I30" s="607"/>
      <c r="J30" s="203"/>
      <c r="K30" s="540"/>
      <c r="L30" s="552"/>
      <c r="M30" s="552"/>
    </row>
    <row r="31" spans="1:13" s="197" customFormat="1" ht="20.100000000000001" customHeight="1" outlineLevel="1">
      <c r="A31" s="605"/>
      <c r="B31" s="606"/>
      <c r="C31" s="354"/>
      <c r="D31" s="601"/>
      <c r="E31" s="268"/>
      <c r="F31" s="254"/>
      <c r="G31" s="254" t="s">
        <v>1448</v>
      </c>
      <c r="H31" s="876">
        <f>SUMIF(E48:I48,"Yes",E57:I57)+SUMIF(E35:I35,"Yes",E44:I44)</f>
        <v>38370</v>
      </c>
      <c r="I31" s="878"/>
      <c r="J31" s="203"/>
      <c r="K31" s="540"/>
      <c r="L31" s="552"/>
      <c r="M31" s="552"/>
    </row>
    <row r="32" spans="1:13" s="197" customFormat="1" ht="8.1" customHeight="1" outlineLevel="1">
      <c r="A32" s="605"/>
      <c r="B32" s="606"/>
      <c r="C32" s="354"/>
      <c r="D32" s="607"/>
      <c r="E32" s="607"/>
      <c r="F32" s="607"/>
      <c r="G32" s="607"/>
      <c r="H32" s="607"/>
      <c r="I32" s="607"/>
      <c r="J32" s="203"/>
      <c r="K32" s="540"/>
      <c r="L32" s="552"/>
      <c r="M32" s="552"/>
    </row>
    <row r="33" spans="1:13" s="197" customFormat="1" ht="39" outlineLevel="1">
      <c r="A33" s="605"/>
      <c r="B33" s="606"/>
      <c r="C33" s="760" t="s">
        <v>1493</v>
      </c>
      <c r="D33" s="819"/>
      <c r="E33" s="598" t="s">
        <v>1467</v>
      </c>
      <c r="F33" s="598" t="s">
        <v>549</v>
      </c>
      <c r="G33" s="598" t="s">
        <v>550</v>
      </c>
      <c r="H33" s="598" t="s">
        <v>551</v>
      </c>
      <c r="I33" s="598" t="s">
        <v>555</v>
      </c>
      <c r="J33" s="203"/>
      <c r="K33" s="540"/>
      <c r="L33" s="552"/>
      <c r="M33" s="552"/>
    </row>
    <row r="34" spans="1:13" s="197" customFormat="1" outlineLevel="1">
      <c r="A34" s="605"/>
      <c r="B34" s="606"/>
      <c r="C34" s="760" t="s">
        <v>1494</v>
      </c>
      <c r="D34" s="819"/>
      <c r="E34" s="599">
        <v>0.03</v>
      </c>
      <c r="F34" s="599">
        <v>0.02</v>
      </c>
      <c r="G34" s="599">
        <v>0.01</v>
      </c>
      <c r="H34" s="599">
        <v>0.03</v>
      </c>
      <c r="I34" s="599">
        <v>0.05</v>
      </c>
      <c r="J34" s="203"/>
      <c r="K34" s="540"/>
      <c r="L34" s="552"/>
      <c r="M34" s="552"/>
    </row>
    <row r="35" spans="1:13" s="197" customFormat="1" outlineLevel="1">
      <c r="A35" s="605"/>
      <c r="B35" s="606"/>
      <c r="C35" s="821" t="s">
        <v>554</v>
      </c>
      <c r="D35" s="801"/>
      <c r="E35" s="600" t="str">
        <f>'3. EC Modelling Info'!$D$66</f>
        <v>Yes</v>
      </c>
      <c r="F35" s="600">
        <f>'3. EC Modelling Info'!$D$67</f>
        <v>0</v>
      </c>
      <c r="G35" s="600">
        <f>'3. EC Modelling Info'!$D$68</f>
        <v>0</v>
      </c>
      <c r="H35" s="600">
        <f>'3. EC Modelling Info'!$D$69</f>
        <v>0</v>
      </c>
      <c r="I35" s="600">
        <f>'3. EC Modelling Info'!$D$70</f>
        <v>0</v>
      </c>
      <c r="J35" s="203"/>
      <c r="K35" s="540"/>
      <c r="L35" s="609"/>
      <c r="M35" s="552"/>
    </row>
    <row r="36" spans="1:13" s="197" customFormat="1" ht="30" customHeight="1" outlineLevel="1">
      <c r="A36" s="605"/>
      <c r="B36" s="606"/>
      <c r="C36" s="821" t="s">
        <v>72</v>
      </c>
      <c r="D36" s="801"/>
      <c r="E36" s="594" t="s">
        <v>254</v>
      </c>
      <c r="F36" s="594"/>
      <c r="G36" s="594"/>
      <c r="H36" s="594"/>
      <c r="I36" s="594"/>
      <c r="J36" s="203"/>
      <c r="K36" s="540"/>
      <c r="L36" s="552"/>
      <c r="M36" s="552"/>
    </row>
    <row r="37" spans="1:13" s="197" customFormat="1" ht="30.75" customHeight="1" outlineLevel="1">
      <c r="A37" s="605"/>
      <c r="B37" s="606"/>
      <c r="C37" s="830" t="s">
        <v>1558</v>
      </c>
      <c r="D37" s="934"/>
      <c r="E37" s="594" t="str">
        <f>IF(ISBLANK('3. EC Modelling Info'!$D$21),"",'3. EC Modelling Info'!$D$21)</f>
        <v/>
      </c>
      <c r="F37" s="594" t="str">
        <f>IF(ISBLANK('3. EC Modelling Info'!$D$21),"",'3. EC Modelling Info'!$D$21)</f>
        <v/>
      </c>
      <c r="G37" s="594" t="str">
        <f>IF(ISBLANK('3. EC Modelling Info'!$D$21),"",'3. EC Modelling Info'!$D$21)</f>
        <v/>
      </c>
      <c r="H37" s="594" t="str">
        <f>IF(ISBLANK('3. EC Modelling Info'!$D$21),"",'3. EC Modelling Info'!$D$21)</f>
        <v/>
      </c>
      <c r="I37" s="594" t="str">
        <f>IF(ISBLANK('3. EC Modelling Info'!$D$21),"",'3. EC Modelling Info'!$D$21)</f>
        <v/>
      </c>
      <c r="J37" s="203"/>
      <c r="K37" s="540"/>
      <c r="L37" s="552"/>
      <c r="M37" s="552"/>
    </row>
    <row r="38" spans="1:13" s="197" customFormat="1" ht="45" customHeight="1" outlineLevel="1">
      <c r="A38" s="605"/>
      <c r="B38" s="606"/>
      <c r="C38" s="830" t="s">
        <v>1577</v>
      </c>
      <c r="D38" s="934"/>
      <c r="E38" s="595"/>
      <c r="F38" s="595"/>
      <c r="G38" s="595"/>
      <c r="H38" s="595"/>
      <c r="I38" s="595"/>
      <c r="J38" s="203"/>
      <c r="K38" s="540"/>
      <c r="L38" s="552"/>
      <c r="M38" s="552"/>
    </row>
    <row r="39" spans="1:13" s="197" customFormat="1" outlineLevel="1">
      <c r="A39" s="605"/>
      <c r="B39" s="606"/>
      <c r="C39" s="821" t="s">
        <v>434</v>
      </c>
      <c r="D39" s="801"/>
      <c r="E39" s="596">
        <v>30970</v>
      </c>
      <c r="F39" s="596"/>
      <c r="G39" s="596"/>
      <c r="H39" s="596"/>
      <c r="I39" s="596"/>
      <c r="J39" s="203"/>
      <c r="K39" s="540"/>
      <c r="L39" s="552"/>
      <c r="M39" s="552"/>
    </row>
    <row r="40" spans="1:13" s="197" customFormat="1" ht="30" customHeight="1" outlineLevel="1">
      <c r="A40" s="605"/>
      <c r="B40" s="606"/>
      <c r="C40" s="821" t="s">
        <v>470</v>
      </c>
      <c r="D40" s="801"/>
      <c r="E40" s="596">
        <v>1000</v>
      </c>
      <c r="F40" s="596" t="str">
        <f>IF(OR(F38="No",F36='Backend (to be hidden)'!$BJ$3),F39*'Backend (to be hidden)'!$BY$2,"")</f>
        <v/>
      </c>
      <c r="G40" s="596" t="str">
        <f>IF(OR(G38="No",G36='Backend (to be hidden)'!$BJ$3),G39*'Backend (to be hidden)'!$BY$2,"")</f>
        <v/>
      </c>
      <c r="H40" s="596" t="str">
        <f>IF(OR(H38="No",H36='Backend (to be hidden)'!$BJ$3),H39*'Backend (to be hidden)'!$BY$2,"")</f>
        <v/>
      </c>
      <c r="I40" s="596" t="str">
        <f>IF(OR(I38="No",I36='Backend (to be hidden)'!$BJ$3),I39*'Backend (to be hidden)'!$BY$2,"")</f>
        <v/>
      </c>
      <c r="J40" s="203"/>
      <c r="K40" s="506"/>
      <c r="L40" s="552"/>
      <c r="M40" s="552"/>
    </row>
    <row r="41" spans="1:13" s="197" customFormat="1" ht="30" customHeight="1" outlineLevel="1">
      <c r="A41" s="605"/>
      <c r="B41" s="606"/>
      <c r="C41" s="821" t="s">
        <v>484</v>
      </c>
      <c r="D41" s="801"/>
      <c r="E41" s="596">
        <v>1900</v>
      </c>
      <c r="F41" s="596" t="str">
        <f>IF(OR(F38="No",F36='Backend (to be hidden)'!$BJ$3,F36='Backend (to be hidden)'!$BJ$5,F36='Backend (to be hidden)'!$BJ$10),F39*'Backend (to be hidden)'!$BY$3,"")</f>
        <v/>
      </c>
      <c r="G41" s="596" t="str">
        <f>IF(OR(G38="No",G36='Backend (to be hidden)'!$BJ$3,G36='Backend (to be hidden)'!$BJ$5,G36='Backend (to be hidden)'!$BJ$10),G39*'Backend (to be hidden)'!$BY$3,"")</f>
        <v/>
      </c>
      <c r="H41" s="596" t="str">
        <f>IF(OR(H38="No",H36='Backend (to be hidden)'!$BJ$3,H36='Backend (to be hidden)'!$BJ$5,H36='Backend (to be hidden)'!$BJ$10),H39*'Backend (to be hidden)'!$BY$3,"")</f>
        <v/>
      </c>
      <c r="I41" s="596" t="str">
        <f>IF(OR(I38="No",I36='Backend (to be hidden)'!$BJ$3,I36='Backend (to be hidden)'!$BJ$5,I36='Backend (to be hidden)'!$BJ$10),I39*'Backend (to be hidden)'!$BY$3,"")</f>
        <v/>
      </c>
      <c r="J41" s="203"/>
      <c r="K41" s="506"/>
      <c r="L41" s="552"/>
      <c r="M41" s="552"/>
    </row>
    <row r="42" spans="1:13" s="197" customFormat="1" outlineLevel="1">
      <c r="A42" s="605"/>
      <c r="B42" s="606"/>
      <c r="C42" s="821" t="s">
        <v>436</v>
      </c>
      <c r="D42" s="801"/>
      <c r="E42" s="596">
        <v>3000</v>
      </c>
      <c r="F42" s="596" t="str">
        <f>IF(OR(F36='Backend (to be hidden)'!$BJ$3,F36='Backend (to be hidden)'!$BJ$5,F36='Backend (to be hidden)'!$BJ$10,F38="No"),F39*'Backend (to be hidden)'!$BY$4,"")</f>
        <v/>
      </c>
      <c r="G42" s="596" t="str">
        <f>IF(OR(G36='Backend (to be hidden)'!$BJ$3,G36='Backend (to be hidden)'!$BJ$5,G36='Backend (to be hidden)'!$BJ$10,G38="No"),G39*'Backend (to be hidden)'!$BY$4,"")</f>
        <v/>
      </c>
      <c r="H42" s="596" t="str">
        <f>IF(OR(H36='Backend (to be hidden)'!$BJ$3,H36='Backend (to be hidden)'!$BJ$5,H36='Backend (to be hidden)'!$BJ$10,H38="No"),H39*'Backend (to be hidden)'!$BY$4,"")</f>
        <v/>
      </c>
      <c r="I42" s="596" t="str">
        <f>IF(OR(I36='Backend (to be hidden)'!$BJ$3,I36='Backend (to be hidden)'!$BJ$5,I36='Backend (to be hidden)'!$BJ$10,I38="No"),I39*'Backend (to be hidden)'!$BY$4,"")</f>
        <v/>
      </c>
      <c r="J42" s="203"/>
      <c r="K42" s="506"/>
      <c r="L42" s="552"/>
      <c r="M42" s="552"/>
    </row>
    <row r="43" spans="1:13" s="197" customFormat="1" outlineLevel="1">
      <c r="A43" s="605"/>
      <c r="B43" s="606"/>
      <c r="C43" s="821" t="s">
        <v>437</v>
      </c>
      <c r="D43" s="801"/>
      <c r="E43" s="596">
        <v>1500</v>
      </c>
      <c r="F43" s="596" t="str">
        <f>IF(OR(F36='Backend (to be hidden)'!$BJ$3,F36='Backend (to be hidden)'!$BJ$5,F36='Backend (to be hidden)'!$BJ$10,F38="No"),F39*'Backend (to be hidden)'!$BY$5,"")</f>
        <v/>
      </c>
      <c r="G43" s="596" t="str">
        <f>IF(OR(G36='Backend (to be hidden)'!$BJ$3,G36='Backend (to be hidden)'!$BJ$5,G36='Backend (to be hidden)'!$BJ$10,G38="No"),G39*'Backend (to be hidden)'!$BY$5,"")</f>
        <v/>
      </c>
      <c r="H43" s="596" t="str">
        <f>IF(OR(H36='Backend (to be hidden)'!$BJ$3,H36='Backend (to be hidden)'!$BJ$5,H36='Backend (to be hidden)'!$BJ$10,H38="No"),H39*'Backend (to be hidden)'!$BY$5,"")</f>
        <v/>
      </c>
      <c r="I43" s="596" t="str">
        <f>IF(OR(I36='Backend (to be hidden)'!$BJ$3,I36='Backend (to be hidden)'!$BJ$5,I36='Backend (to be hidden)'!$BJ$10,I38="No"),I39*'Backend (to be hidden)'!$BY$5,"")</f>
        <v/>
      </c>
      <c r="J43" s="203"/>
      <c r="K43" s="506"/>
      <c r="L43" s="552"/>
      <c r="M43" s="552"/>
    </row>
    <row r="44" spans="1:13" s="197" customFormat="1" outlineLevel="1">
      <c r="A44" s="605"/>
      <c r="B44" s="606"/>
      <c r="C44" s="821" t="s">
        <v>477</v>
      </c>
      <c r="D44" s="801"/>
      <c r="E44" s="597">
        <f>IF(E39="","",SUM(E39:E43))</f>
        <v>38370</v>
      </c>
      <c r="F44" s="597" t="str">
        <f>IF(F39="","",SUM(F39:F43))</f>
        <v/>
      </c>
      <c r="G44" s="597" t="str">
        <f>IF(G39="","",SUM(G39:G43))</f>
        <v/>
      </c>
      <c r="H44" s="597" t="str">
        <f>IF(H39="","",SUM(H39:H43))</f>
        <v/>
      </c>
      <c r="I44" s="597" t="str">
        <f>IF(I39="","",SUM(I39:I43))</f>
        <v/>
      </c>
      <c r="J44" s="203"/>
      <c r="K44" s="540"/>
      <c r="L44" s="552"/>
      <c r="M44" s="552"/>
    </row>
    <row r="45" spans="1:13" s="197" customFormat="1" ht="20.100000000000001" customHeight="1" outlineLevel="1">
      <c r="A45" s="605"/>
      <c r="B45" s="606"/>
      <c r="C45" s="354"/>
      <c r="D45" s="607"/>
      <c r="E45" s="608">
        <f>IF(E35="Yes",IF(AND(ISNUMBER(E39),ISNUMBER(E40),ISNUMBER(E41),ISNUMBER(E42),ISNUMBER(E43)),0,1),0)</f>
        <v>0</v>
      </c>
      <c r="F45" s="608">
        <f>IF(F35="Yes",IF(AND(ISNUMBER(F39),ISNUMBER(F40),ISNUMBER(F41),ISNUMBER(F42),ISNUMBER(F43)),0,1),0)</f>
        <v>0</v>
      </c>
      <c r="G45" s="608">
        <f>IF(G35="Yes",IF(AND(ISNUMBER(G39),ISNUMBER(G40),ISNUMBER(G41),ISNUMBER(G42),ISNUMBER(G43)),0,1),0)</f>
        <v>0</v>
      </c>
      <c r="H45" s="608">
        <f>IF(H35="Yes",IF(AND(ISNUMBER(H39),ISNUMBER(H40),ISNUMBER(H41),ISNUMBER(H42),ISNUMBER(H43)),0,1),0)</f>
        <v>0</v>
      </c>
      <c r="I45" s="608">
        <f>IF(I35="Yes",IF(AND(ISNUMBER(I39),ISNUMBER(I40),ISNUMBER(I41),ISNUMBER(I42),ISNUMBER(I43)),0,1),0)</f>
        <v>0</v>
      </c>
      <c r="J45" s="203"/>
      <c r="K45" s="540"/>
      <c r="L45" s="552"/>
      <c r="M45" s="552"/>
    </row>
    <row r="46" spans="1:13" s="197" customFormat="1" ht="51.75" outlineLevel="1">
      <c r="A46" s="605"/>
      <c r="B46" s="606"/>
      <c r="C46" s="760" t="s">
        <v>1493</v>
      </c>
      <c r="D46" s="819"/>
      <c r="E46" s="598" t="s">
        <v>1468</v>
      </c>
      <c r="F46" s="598" t="s">
        <v>552</v>
      </c>
      <c r="G46" s="598" t="s">
        <v>553</v>
      </c>
      <c r="H46" s="598" t="s">
        <v>1469</v>
      </c>
      <c r="I46" s="598" t="s">
        <v>566</v>
      </c>
      <c r="J46" s="203"/>
      <c r="K46" s="540"/>
      <c r="L46" s="552"/>
      <c r="M46" s="552"/>
    </row>
    <row r="47" spans="1:13" s="197" customFormat="1" outlineLevel="1">
      <c r="A47" s="605"/>
      <c r="B47" s="606"/>
      <c r="C47" s="760" t="s">
        <v>1494</v>
      </c>
      <c r="D47" s="819"/>
      <c r="E47" s="599">
        <v>0.04</v>
      </c>
      <c r="F47" s="599">
        <v>0.02</v>
      </c>
      <c r="G47" s="599">
        <v>0.01</v>
      </c>
      <c r="H47" s="599">
        <v>0.02</v>
      </c>
      <c r="I47" s="599">
        <v>0.01</v>
      </c>
      <c r="J47" s="203"/>
      <c r="K47" s="540"/>
      <c r="L47" s="552"/>
      <c r="M47" s="552"/>
    </row>
    <row r="48" spans="1:13" s="197" customFormat="1" outlineLevel="1">
      <c r="A48" s="605"/>
      <c r="B48" s="606"/>
      <c r="C48" s="821" t="s">
        <v>554</v>
      </c>
      <c r="D48" s="801"/>
      <c r="E48" s="600">
        <f>'3. EC Modelling Info'!$D$71</f>
        <v>0</v>
      </c>
      <c r="F48" s="600">
        <f>'3. EC Modelling Info'!$D$73</f>
        <v>0</v>
      </c>
      <c r="G48" s="600">
        <f>'3. EC Modelling Info'!$D$74</f>
        <v>0</v>
      </c>
      <c r="H48" s="600">
        <f>'3. EC Modelling Info'!$D$76</f>
        <v>0</v>
      </c>
      <c r="I48" s="600">
        <f>'3. EC Modelling Info'!$D$75</f>
        <v>0</v>
      </c>
      <c r="J48" s="203"/>
      <c r="K48" s="540"/>
      <c r="L48" s="552"/>
      <c r="M48" s="552"/>
    </row>
    <row r="49" spans="1:18" s="197" customFormat="1" ht="30" customHeight="1" outlineLevel="1">
      <c r="A49" s="605"/>
      <c r="B49" s="606"/>
      <c r="C49" s="821" t="s">
        <v>72</v>
      </c>
      <c r="D49" s="801"/>
      <c r="E49" s="594"/>
      <c r="F49" s="594"/>
      <c r="G49" s="594"/>
      <c r="H49" s="594"/>
      <c r="I49" s="594"/>
      <c r="J49" s="203"/>
      <c r="K49" s="540"/>
      <c r="L49" s="552"/>
      <c r="M49" s="552"/>
    </row>
    <row r="50" spans="1:18" s="197" customFormat="1" ht="27" customHeight="1" outlineLevel="1">
      <c r="A50" s="605"/>
      <c r="B50" s="606"/>
      <c r="C50" s="830" t="s">
        <v>1558</v>
      </c>
      <c r="D50" s="934"/>
      <c r="E50" s="594" t="str">
        <f>IF(ISBLANK('3. EC Modelling Info'!$D$21),"",'3. EC Modelling Info'!$D$21)</f>
        <v/>
      </c>
      <c r="F50" s="594" t="str">
        <f>IF(ISBLANK('3. EC Modelling Info'!$D$21),"",'3. EC Modelling Info'!$D$21)</f>
        <v/>
      </c>
      <c r="G50" s="594" t="str">
        <f>IF(ISBLANK('3. EC Modelling Info'!$D$21),"",'3. EC Modelling Info'!$D$21)</f>
        <v/>
      </c>
      <c r="H50" s="594" t="str">
        <f>IF(ISBLANK('3. EC Modelling Info'!$D$21),"",'3. EC Modelling Info'!$D$21)</f>
        <v/>
      </c>
      <c r="I50" s="594" t="str">
        <f>IF(ISBLANK('3. EC Modelling Info'!$D$21),"",'3. EC Modelling Info'!$D$21)</f>
        <v/>
      </c>
      <c r="J50" s="203"/>
      <c r="K50" s="540"/>
      <c r="L50" s="552"/>
      <c r="M50" s="552"/>
    </row>
    <row r="51" spans="1:18" s="197" customFormat="1" ht="45" customHeight="1" outlineLevel="1">
      <c r="A51" s="605"/>
      <c r="B51" s="606"/>
      <c r="C51" s="830" t="s">
        <v>1559</v>
      </c>
      <c r="D51" s="934"/>
      <c r="E51" s="595"/>
      <c r="F51" s="595"/>
      <c r="G51" s="595"/>
      <c r="H51" s="595"/>
      <c r="I51" s="595"/>
      <c r="J51" s="203"/>
      <c r="K51" s="540"/>
      <c r="L51" s="552"/>
      <c r="M51" s="552"/>
    </row>
    <row r="52" spans="1:18" s="197" customFormat="1" outlineLevel="1">
      <c r="A52" s="605"/>
      <c r="B52" s="606"/>
      <c r="C52" s="821" t="s">
        <v>434</v>
      </c>
      <c r="D52" s="801"/>
      <c r="E52" s="596"/>
      <c r="F52" s="596"/>
      <c r="G52" s="596"/>
      <c r="H52" s="596"/>
      <c r="I52" s="596"/>
      <c r="J52" s="203"/>
      <c r="K52" s="540"/>
      <c r="L52" s="552"/>
      <c r="M52" s="552"/>
    </row>
    <row r="53" spans="1:18" s="197" customFormat="1" ht="30" customHeight="1" outlineLevel="1">
      <c r="A53" s="605"/>
      <c r="B53" s="606"/>
      <c r="C53" s="821" t="s">
        <v>470</v>
      </c>
      <c r="D53" s="801"/>
      <c r="E53" s="596" t="str">
        <f>IF(OR(E51="No",E49='Backend (to be hidden)'!$BJ$3),E52*'Backend (to be hidden)'!$BY$2,"")</f>
        <v/>
      </c>
      <c r="F53" s="596" t="str">
        <f>IF(OR(F51="No",F49='Backend (to be hidden)'!$BJ$3),F52*'Backend (to be hidden)'!$BY$2,"")</f>
        <v/>
      </c>
      <c r="G53" s="596" t="str">
        <f>IF(OR(G51="No",G49='Backend (to be hidden)'!$BJ$3),G52*'Backend (to be hidden)'!$BY$2,"")</f>
        <v/>
      </c>
      <c r="H53" s="596" t="str">
        <f>IF(OR(H51="No",H49='Backend (to be hidden)'!$BJ$3),H52*'Backend (to be hidden)'!$BY$2,"")</f>
        <v/>
      </c>
      <c r="I53" s="596" t="str">
        <f>IF(OR(I51="No",I49='Backend (to be hidden)'!$BJ$3),I52*'Backend (to be hidden)'!$BY$2,"")</f>
        <v/>
      </c>
      <c r="J53" s="203"/>
      <c r="K53" s="540"/>
      <c r="L53" s="552"/>
      <c r="M53" s="552"/>
    </row>
    <row r="54" spans="1:18" s="197" customFormat="1" ht="30" customHeight="1" outlineLevel="1">
      <c r="A54" s="605"/>
      <c r="B54" s="606"/>
      <c r="C54" s="821" t="s">
        <v>484</v>
      </c>
      <c r="D54" s="801"/>
      <c r="E54" s="596" t="str">
        <f>IF(OR(E51="No",E49='Backend (to be hidden)'!$BJ$3,E49='Backend (to be hidden)'!$BJ$5,E49='Backend (to be hidden)'!$BJ$10),E52*'Backend (to be hidden)'!$BY$3,"")</f>
        <v/>
      </c>
      <c r="F54" s="596" t="str">
        <f>IF(OR(F51="No",F49='Backend (to be hidden)'!$BJ$3,F49='Backend (to be hidden)'!$BJ$5,F49='Backend (to be hidden)'!$BJ$10),F52*'Backend (to be hidden)'!$BY$3,"")</f>
        <v/>
      </c>
      <c r="G54" s="596" t="str">
        <f>IF(OR(G51="No",G49='Backend (to be hidden)'!$BJ$3,G49='Backend (to be hidden)'!$BJ$5,G49='Backend (to be hidden)'!$BJ$10),G52*'Backend (to be hidden)'!$BY$3,"")</f>
        <v/>
      </c>
      <c r="H54" s="596" t="str">
        <f>IF(OR(H51="No",H49='Backend (to be hidden)'!$BJ$3,H49='Backend (to be hidden)'!$BJ$5,H49='Backend (to be hidden)'!$BJ$10),H52*'Backend (to be hidden)'!$BY$3,"")</f>
        <v/>
      </c>
      <c r="I54" s="596" t="str">
        <f>IF(OR(I51="No",I49='Backend (to be hidden)'!$BJ$3,I49='Backend (to be hidden)'!$BJ$5,I49='Backend (to be hidden)'!$BJ$10),I52*'Backend (to be hidden)'!$BY$3,"")</f>
        <v/>
      </c>
      <c r="J54" s="203"/>
      <c r="K54" s="540"/>
      <c r="L54" s="552"/>
      <c r="M54" s="552"/>
    </row>
    <row r="55" spans="1:18" s="197" customFormat="1" outlineLevel="1">
      <c r="A55" s="605"/>
      <c r="B55" s="606"/>
      <c r="C55" s="821" t="s">
        <v>436</v>
      </c>
      <c r="D55" s="801"/>
      <c r="E55" s="596" t="str">
        <f>IF(OR(E49='Backend (to be hidden)'!$BJ$3,E49='Backend (to be hidden)'!$BJ$5,E49='Backend (to be hidden)'!$BJ$10,E51="No"),E52*'Backend (to be hidden)'!$BY$4,"")</f>
        <v/>
      </c>
      <c r="F55" s="596" t="str">
        <f>IF(OR(F49='Backend (to be hidden)'!$BJ$3,F49='Backend (to be hidden)'!$BJ$5,F49='Backend (to be hidden)'!$BJ$10,F51="No"),F52*'Backend (to be hidden)'!$BY$4,"")</f>
        <v/>
      </c>
      <c r="G55" s="596" t="str">
        <f>IF(OR(G49='Backend (to be hidden)'!$BJ$3,G49='Backend (to be hidden)'!$BJ$5,G49='Backend (to be hidden)'!$BJ$10,G51="No"),G52*'Backend (to be hidden)'!$BY$4,"")</f>
        <v/>
      </c>
      <c r="H55" s="596" t="str">
        <f>IF(OR(H49='Backend (to be hidden)'!$BJ$3,H49='Backend (to be hidden)'!$BJ$5,H49='Backend (to be hidden)'!$BJ$10,H51="No"),H52*'Backend (to be hidden)'!$BY$4,"")</f>
        <v/>
      </c>
      <c r="I55" s="596" t="str">
        <f>IF(OR(I49='Backend (to be hidden)'!$BJ$3,I49='Backend (to be hidden)'!$BJ$5,I49='Backend (to be hidden)'!$BJ$10,I51="No"),I52*'Backend (to be hidden)'!$BY$4,"")</f>
        <v/>
      </c>
      <c r="J55" s="203"/>
      <c r="K55" s="540"/>
      <c r="L55" s="552"/>
      <c r="M55" s="552"/>
    </row>
    <row r="56" spans="1:18" s="197" customFormat="1" outlineLevel="1">
      <c r="A56" s="605"/>
      <c r="B56" s="606"/>
      <c r="C56" s="821" t="s">
        <v>437</v>
      </c>
      <c r="D56" s="801"/>
      <c r="E56" s="596" t="str">
        <f>IF(OR(E49='Backend (to be hidden)'!$BJ$3,E49='Backend (to be hidden)'!$BJ$5,E49='Backend (to be hidden)'!$BJ$10,E51="No"),E52*'Backend (to be hidden)'!$BY$5,"")</f>
        <v/>
      </c>
      <c r="F56" s="596" t="str">
        <f>IF(OR(F49='Backend (to be hidden)'!$BJ$3,F49='Backend (to be hidden)'!$BJ$5,F49='Backend (to be hidden)'!$BJ$10,F51="No"),F52*'Backend (to be hidden)'!$BY$5,"")</f>
        <v/>
      </c>
      <c r="G56" s="596" t="str">
        <f>IF(OR(G49='Backend (to be hidden)'!$BJ$3,G49='Backend (to be hidden)'!$BJ$5,G49='Backend (to be hidden)'!$BJ$10,G51="No"),G52*'Backend (to be hidden)'!$BY$5,"")</f>
        <v/>
      </c>
      <c r="H56" s="596" t="str">
        <f>IF(OR(H49='Backend (to be hidden)'!$BJ$3,H49='Backend (to be hidden)'!$BJ$5,H49='Backend (to be hidden)'!$BJ$10,H51="No"),H52*'Backend (to be hidden)'!$BY$5,"")</f>
        <v/>
      </c>
      <c r="I56" s="596" t="str">
        <f>IF(OR(I49='Backend (to be hidden)'!$BJ$3,I49='Backend (to be hidden)'!$BJ$5,I49='Backend (to be hidden)'!$BJ$10,I51="No"),I52*'Backend (to be hidden)'!$BY$5,"")</f>
        <v/>
      </c>
      <c r="J56" s="203"/>
      <c r="K56" s="540"/>
      <c r="L56" s="552"/>
      <c r="M56" s="552"/>
    </row>
    <row r="57" spans="1:18" s="197" customFormat="1" outlineLevel="1">
      <c r="A57" s="605"/>
      <c r="B57" s="606"/>
      <c r="C57" s="821" t="s">
        <v>477</v>
      </c>
      <c r="D57" s="801"/>
      <c r="E57" s="597" t="str">
        <f>IF(E52="","",SUM(E52:E56))</f>
        <v/>
      </c>
      <c r="F57" s="597" t="str">
        <f>IF(F52="","",SUM(F52:F56))</f>
        <v/>
      </c>
      <c r="G57" s="597" t="str">
        <f>IF(G52="","",SUM(G52:G56))</f>
        <v/>
      </c>
      <c r="H57" s="597" t="str">
        <f>IF(H52="","",SUM(H52:H56))</f>
        <v/>
      </c>
      <c r="I57" s="597" t="str">
        <f>IF(I52="","",SUM(I52:I56))</f>
        <v/>
      </c>
      <c r="J57" s="203"/>
      <c r="K57" s="540"/>
      <c r="L57" s="552"/>
      <c r="M57" s="552"/>
    </row>
    <row r="58" spans="1:18" s="197" customFormat="1" ht="20.100000000000001" customHeight="1" outlineLevel="1">
      <c r="A58" s="605"/>
      <c r="B58" s="606"/>
      <c r="C58" s="354"/>
      <c r="D58" s="607"/>
      <c r="E58" s="608">
        <f>IF(E48="Yes",IF(AND(ISNUMBER(E52),ISNUMBER(E53),ISNUMBER(E54),ISNUMBER(E55),ISNUMBER(E56)),0,1),0)</f>
        <v>0</v>
      </c>
      <c r="F58" s="608">
        <f>IF(F48="Yes",IF(AND(ISNUMBER(F52),ISNUMBER(F53),ISNUMBER(F54),ISNUMBER(F55),ISNUMBER(F56)),0,1),0)</f>
        <v>0</v>
      </c>
      <c r="G58" s="608">
        <f>IF(G48="Yes",IF(AND(ISNUMBER(G52),ISNUMBER(G53),ISNUMBER(G54),ISNUMBER(G55),ISNUMBER(G56)),0,1),0)</f>
        <v>0</v>
      </c>
      <c r="H58" s="608">
        <f>IF(H48="Yes",IF(AND(ISNUMBER(H52),ISNUMBER(H53),ISNUMBER(H54),ISNUMBER(H55),ISNUMBER(H56)),0,1),0)</f>
        <v>0</v>
      </c>
      <c r="I58" s="608">
        <f>IF(I48="Yes",IF(AND(ISNUMBER(I52),ISNUMBER(I53),ISNUMBER(I54),ISNUMBER(I55),ISNUMBER(I56)),0,1),0)</f>
        <v>0</v>
      </c>
      <c r="J58" s="203"/>
      <c r="K58" s="540"/>
      <c r="L58" s="552"/>
      <c r="M58" s="552"/>
    </row>
    <row r="59" spans="1:18" ht="15" customHeight="1" outlineLevel="1">
      <c r="A59" s="29"/>
      <c r="B59" s="52"/>
      <c r="C59" s="356" t="s">
        <v>1142</v>
      </c>
      <c r="D59" s="355"/>
      <c r="E59" s="355"/>
      <c r="F59" s="355"/>
      <c r="G59" s="355"/>
      <c r="H59" s="355"/>
      <c r="I59" s="355"/>
      <c r="J59" s="203"/>
      <c r="K59" s="17"/>
      <c r="L59" s="6"/>
      <c r="M59" s="6"/>
      <c r="R59" s="28"/>
    </row>
    <row r="60" spans="1:18" ht="15" customHeight="1" outlineLevel="1">
      <c r="A60" s="29"/>
      <c r="B60" s="52"/>
      <c r="C60" s="504" t="s">
        <v>1048</v>
      </c>
      <c r="D60" s="901" t="s">
        <v>1046</v>
      </c>
      <c r="E60" s="801"/>
      <c r="F60" s="801"/>
      <c r="G60" s="801"/>
      <c r="H60" s="801"/>
      <c r="I60" s="801"/>
      <c r="J60" s="203"/>
      <c r="K60" s="17"/>
      <c r="L60" s="6"/>
      <c r="M60" s="6"/>
      <c r="R60" s="28"/>
    </row>
    <row r="61" spans="1:18" ht="30" customHeight="1" outlineLevel="1">
      <c r="A61" s="29"/>
      <c r="B61" s="52"/>
      <c r="C61" s="504" t="s">
        <v>1048</v>
      </c>
      <c r="D61" s="901" t="s">
        <v>1127</v>
      </c>
      <c r="E61" s="801"/>
      <c r="F61" s="801"/>
      <c r="G61" s="801"/>
      <c r="H61" s="801"/>
      <c r="I61" s="801"/>
      <c r="J61" s="203"/>
      <c r="K61" s="17"/>
      <c r="L61" s="6"/>
      <c r="M61" s="6"/>
      <c r="R61" s="28"/>
    </row>
    <row r="62" spans="1:18" ht="30" customHeight="1" outlineLevel="1">
      <c r="A62" s="29"/>
      <c r="B62" s="52"/>
      <c r="C62" s="504" t="s">
        <v>1048</v>
      </c>
      <c r="D62" s="901" t="s">
        <v>1370</v>
      </c>
      <c r="E62" s="801"/>
      <c r="F62" s="801"/>
      <c r="G62" s="801"/>
      <c r="H62" s="801"/>
      <c r="I62" s="801"/>
      <c r="J62" s="203"/>
      <c r="K62" s="17"/>
      <c r="L62" s="6"/>
      <c r="M62" s="6"/>
      <c r="R62" s="28"/>
    </row>
    <row r="63" spans="1:18" ht="15" customHeight="1" outlineLevel="1">
      <c r="A63" s="29"/>
      <c r="B63" s="52"/>
      <c r="C63" s="504" t="s">
        <v>1048</v>
      </c>
      <c r="D63" s="901" t="s">
        <v>1128</v>
      </c>
      <c r="E63" s="801"/>
      <c r="F63" s="801"/>
      <c r="G63" s="801"/>
      <c r="H63" s="801"/>
      <c r="I63" s="801"/>
      <c r="J63" s="203"/>
      <c r="K63" s="17"/>
      <c r="L63" s="6"/>
      <c r="M63" s="6"/>
      <c r="R63" s="28"/>
    </row>
    <row r="64" spans="1:18" ht="15" customHeight="1" outlineLevel="1">
      <c r="A64" s="29"/>
      <c r="B64" s="52"/>
      <c r="C64" s="504" t="s">
        <v>1048</v>
      </c>
      <c r="D64" s="901" t="s">
        <v>1492</v>
      </c>
      <c r="E64" s="801"/>
      <c r="F64" s="801"/>
      <c r="G64" s="801"/>
      <c r="H64" s="801"/>
      <c r="I64" s="801"/>
      <c r="J64" s="203"/>
      <c r="K64" s="17"/>
      <c r="L64" s="6"/>
      <c r="M64" s="6"/>
      <c r="R64" s="28"/>
    </row>
    <row r="65" spans="1:18" ht="15" customHeight="1" outlineLevel="1">
      <c r="A65" s="29"/>
      <c r="B65" s="52"/>
      <c r="C65" s="35"/>
      <c r="D65" s="35"/>
      <c r="E65" s="35"/>
      <c r="F65" s="269"/>
      <c r="G65" s="268"/>
      <c r="H65" s="35"/>
      <c r="I65" s="35"/>
      <c r="J65" s="203"/>
      <c r="K65" s="17"/>
      <c r="L65" s="6"/>
      <c r="M65" s="6"/>
      <c r="R65" s="28"/>
    </row>
    <row r="66" spans="1:18" ht="15.75" outlineLevel="1">
      <c r="A66" s="29"/>
      <c r="B66" s="52"/>
      <c r="C66" s="819" t="s">
        <v>1369</v>
      </c>
      <c r="D66" s="819"/>
      <c r="E66" s="819"/>
      <c r="F66" s="819"/>
      <c r="G66" s="819"/>
      <c r="H66" s="819"/>
      <c r="I66" s="819"/>
      <c r="J66" s="203"/>
      <c r="K66" s="17"/>
      <c r="L66" s="6"/>
      <c r="M66" s="6"/>
      <c r="R66" s="28"/>
    </row>
    <row r="67" spans="1:18" ht="15" customHeight="1" outlineLevel="1">
      <c r="A67" s="29"/>
      <c r="B67" s="52"/>
      <c r="C67" s="829" t="s">
        <v>1432</v>
      </c>
      <c r="D67" s="829"/>
      <c r="E67" s="829"/>
      <c r="F67" s="829"/>
      <c r="G67" s="829"/>
      <c r="H67" s="829"/>
      <c r="I67" s="829"/>
      <c r="J67" s="203"/>
      <c r="K67" s="17"/>
      <c r="L67" s="6"/>
      <c r="M67" s="6"/>
      <c r="R67" s="28"/>
    </row>
    <row r="68" spans="1:18" ht="69.95" customHeight="1" outlineLevel="1">
      <c r="A68" s="29"/>
      <c r="B68" s="52"/>
      <c r="C68" s="764" t="s">
        <v>1624</v>
      </c>
      <c r="D68" s="765"/>
      <c r="E68" s="765"/>
      <c r="F68" s="765"/>
      <c r="G68" s="765"/>
      <c r="H68" s="765"/>
      <c r="I68" s="766"/>
      <c r="J68" s="203"/>
      <c r="K68" s="17"/>
      <c r="L68" s="6"/>
      <c r="M68" s="6"/>
      <c r="R68" s="28"/>
    </row>
    <row r="69" spans="1:18" ht="15" customHeight="1">
      <c r="A69" s="29"/>
      <c r="B69" s="52"/>
      <c r="C69" s="397"/>
      <c r="D69" s="397"/>
      <c r="E69" s="398"/>
      <c r="F69" s="398"/>
      <c r="G69" s="398"/>
      <c r="H69" s="398"/>
      <c r="I69" s="398"/>
      <c r="J69" s="203"/>
      <c r="K69" s="17"/>
      <c r="L69" s="6"/>
      <c r="M69" s="6"/>
      <c r="R69" s="28"/>
    </row>
    <row r="70" spans="1:18" ht="15" customHeight="1">
      <c r="A70" s="29"/>
      <c r="B70" s="141"/>
      <c r="C70" s="379" t="s">
        <v>1384</v>
      </c>
      <c r="D70" s="379"/>
      <c r="E70" s="379"/>
      <c r="F70" s="379"/>
      <c r="G70" s="379"/>
      <c r="H70" s="380" t="s">
        <v>1243</v>
      </c>
      <c r="I70" s="535" t="s">
        <v>81</v>
      </c>
      <c r="J70" s="444"/>
      <c r="K70" s="347"/>
      <c r="L70" s="6"/>
      <c r="M70" s="6"/>
    </row>
    <row r="71" spans="1:18" ht="8.1" customHeight="1">
      <c r="A71" s="29"/>
      <c r="B71" s="141"/>
      <c r="C71" s="398"/>
      <c r="D71" s="398"/>
      <c r="E71" s="398"/>
      <c r="F71" s="398"/>
      <c r="G71" s="398"/>
      <c r="H71" s="398"/>
      <c r="I71" s="398"/>
      <c r="J71" s="444"/>
      <c r="K71" s="17"/>
      <c r="L71" s="6"/>
      <c r="M71" s="6"/>
    </row>
    <row r="72" spans="1:18" ht="30" customHeight="1">
      <c r="A72" s="29"/>
      <c r="B72" s="52"/>
      <c r="C72" s="360"/>
      <c r="D72" s="360"/>
      <c r="E72" s="360"/>
      <c r="F72" s="360"/>
      <c r="G72" s="254" t="str">
        <f>_xlfn.CONCAT("Total ILCs for ",C70)</f>
        <v>Total ILCs for a.ii Report As-Built Concrete Data (Max 3%)</v>
      </c>
      <c r="H72" s="930">
        <f>IF(AND(H77="Yes",H78="Yes",ISNUMBER(I91),ISNUMBER(I94),COUNTA(C98:C100,I85:I87)&gt;5),0.03,IF(AND(H77="Yes",H78="No",ISNUMBER(I91),COUNTA(C98:C100,I85:I87)&gt;4),0.01,'Backend (to be hidden)'!CM29))</f>
        <v>0.03</v>
      </c>
      <c r="I72" s="931"/>
      <c r="J72" s="444"/>
      <c r="K72" s="17"/>
      <c r="L72" s="6"/>
      <c r="M72" s="6"/>
    </row>
    <row r="73" spans="1:18" ht="8.1" customHeight="1">
      <c r="A73" s="29"/>
      <c r="B73" s="52"/>
      <c r="C73" s="360"/>
      <c r="D73" s="360"/>
      <c r="E73" s="360"/>
      <c r="F73" s="360"/>
      <c r="G73" s="254"/>
      <c r="H73" s="254"/>
      <c r="I73" s="371"/>
      <c r="J73" s="444"/>
      <c r="K73" s="17"/>
      <c r="L73" s="6"/>
      <c r="M73" s="6"/>
    </row>
    <row r="74" spans="1:18" ht="45" customHeight="1">
      <c r="A74" s="29"/>
      <c r="B74" s="141"/>
      <c r="C74" s="821" t="s">
        <v>1433</v>
      </c>
      <c r="D74" s="821"/>
      <c r="E74" s="821"/>
      <c r="F74" s="821"/>
      <c r="G74" s="821"/>
      <c r="H74" s="821"/>
      <c r="I74" s="821"/>
      <c r="J74" s="444"/>
      <c r="K74" s="17"/>
      <c r="L74" s="6"/>
      <c r="M74" s="6"/>
    </row>
    <row r="75" spans="1:18" s="437" customFormat="1" ht="20.100000000000001" customHeight="1">
      <c r="A75" s="431"/>
      <c r="B75" s="452"/>
      <c r="C75" s="461" t="s">
        <v>1240</v>
      </c>
      <c r="D75" s="456"/>
      <c r="E75" s="456"/>
      <c r="F75" s="456"/>
      <c r="G75" s="456"/>
      <c r="H75" s="456"/>
      <c r="I75" s="456"/>
      <c r="J75" s="436"/>
      <c r="K75" s="538"/>
      <c r="L75" s="539"/>
      <c r="M75" s="539"/>
    </row>
    <row r="76" spans="1:18" ht="15" customHeight="1" outlineLevel="1">
      <c r="A76" s="29"/>
      <c r="B76" s="141"/>
      <c r="C76" s="254"/>
      <c r="D76" s="254"/>
      <c r="E76" s="398"/>
      <c r="F76" s="254"/>
      <c r="G76" s="398"/>
      <c r="H76" s="401" t="s">
        <v>554</v>
      </c>
      <c r="I76" s="400" t="s">
        <v>1143</v>
      </c>
      <c r="J76" s="203"/>
      <c r="K76" s="17"/>
      <c r="L76" s="6"/>
      <c r="M76" s="6"/>
      <c r="R76" s="28"/>
    </row>
    <row r="77" spans="1:18" ht="15" customHeight="1" outlineLevel="1">
      <c r="A77" s="29"/>
      <c r="B77" s="141"/>
      <c r="C77" s="398"/>
      <c r="D77" s="398"/>
      <c r="E77" s="398"/>
      <c r="F77" s="398"/>
      <c r="G77" s="397" t="s">
        <v>556</v>
      </c>
      <c r="H77" s="510" t="s">
        <v>81</v>
      </c>
      <c r="I77" s="406">
        <v>0.01</v>
      </c>
      <c r="J77" s="203"/>
      <c r="K77" s="17"/>
      <c r="L77" s="6"/>
      <c r="M77" s="6"/>
      <c r="R77" s="28"/>
    </row>
    <row r="78" spans="1:18" ht="15" customHeight="1" outlineLevel="1">
      <c r="A78" s="29"/>
      <c r="B78" s="141"/>
      <c r="C78" s="398"/>
      <c r="D78" s="398"/>
      <c r="E78" s="398"/>
      <c r="F78" s="398"/>
      <c r="G78" s="397" t="s">
        <v>1049</v>
      </c>
      <c r="H78" s="510" t="s">
        <v>81</v>
      </c>
      <c r="I78" s="406">
        <v>0.02</v>
      </c>
      <c r="J78" s="203"/>
      <c r="K78" s="17"/>
      <c r="L78" s="6"/>
      <c r="M78" s="6"/>
      <c r="R78" s="28"/>
    </row>
    <row r="79" spans="1:18" ht="8.1" customHeight="1" outlineLevel="1">
      <c r="A79" s="29"/>
      <c r="B79" s="52"/>
      <c r="C79" s="397"/>
      <c r="D79" s="397"/>
      <c r="E79" s="268"/>
      <c r="F79" s="269"/>
      <c r="G79" s="268"/>
      <c r="H79" s="268"/>
      <c r="I79" s="268"/>
      <c r="J79" s="203"/>
      <c r="K79" s="17"/>
      <c r="L79" s="6"/>
      <c r="M79" s="6"/>
      <c r="R79" s="28"/>
    </row>
    <row r="80" spans="1:18" ht="15" customHeight="1" outlineLevel="1">
      <c r="A80" s="29"/>
      <c r="B80" s="52"/>
      <c r="C80" s="354" t="s">
        <v>1434</v>
      </c>
      <c r="D80" s="577"/>
      <c r="E80" s="268"/>
      <c r="F80" s="269"/>
      <c r="G80" s="268"/>
      <c r="H80" s="925" t="s">
        <v>1435</v>
      </c>
      <c r="I80" s="926"/>
      <c r="J80" s="203"/>
      <c r="K80" s="19"/>
      <c r="L80" s="6"/>
      <c r="M80" s="6"/>
      <c r="R80" s="28"/>
    </row>
    <row r="81" spans="1:18" ht="8.1" customHeight="1" outlineLevel="1">
      <c r="A81" s="29"/>
      <c r="B81" s="52"/>
      <c r="C81" s="354"/>
      <c r="D81" s="580"/>
      <c r="E81" s="268"/>
      <c r="F81" s="269"/>
      <c r="G81" s="268"/>
      <c r="H81" s="699"/>
      <c r="I81" s="699"/>
      <c r="J81" s="203"/>
      <c r="K81" s="19"/>
      <c r="L81" s="6"/>
      <c r="M81" s="6"/>
      <c r="R81" s="28"/>
    </row>
    <row r="82" spans="1:18" ht="15" customHeight="1" outlineLevel="1">
      <c r="A82" s="29"/>
      <c r="B82" s="52"/>
      <c r="C82" s="376" t="s">
        <v>1439</v>
      </c>
      <c r="D82" s="376"/>
      <c r="E82" s="376"/>
      <c r="F82" s="376"/>
      <c r="G82" s="376"/>
      <c r="H82" s="376"/>
      <c r="I82" s="376"/>
      <c r="J82" s="203"/>
      <c r="K82" s="19"/>
      <c r="L82" s="6"/>
      <c r="M82" s="6"/>
      <c r="R82" s="28"/>
    </row>
    <row r="83" spans="1:18" ht="63.75" customHeight="1" outlineLevel="1">
      <c r="A83" s="29"/>
      <c r="B83" s="52"/>
      <c r="C83" s="821" t="s">
        <v>1442</v>
      </c>
      <c r="D83" s="821"/>
      <c r="E83" s="821"/>
      <c r="F83" s="821"/>
      <c r="G83" s="821"/>
      <c r="H83" s="821"/>
      <c r="I83" s="821"/>
      <c r="J83" s="203"/>
      <c r="K83" s="19"/>
      <c r="L83" s="6"/>
      <c r="M83" s="6"/>
      <c r="R83" s="28"/>
    </row>
    <row r="84" spans="1:18" ht="8.1" customHeight="1" outlineLevel="1">
      <c r="A84" s="29"/>
      <c r="B84" s="52"/>
      <c r="C84" s="397"/>
      <c r="D84" s="397"/>
      <c r="E84" s="268"/>
      <c r="F84" s="269"/>
      <c r="G84" s="268"/>
      <c r="H84" s="268"/>
      <c r="I84" s="268"/>
      <c r="J84" s="203"/>
      <c r="K84" s="17"/>
      <c r="L84" s="6"/>
      <c r="M84" s="6"/>
      <c r="R84" s="28"/>
    </row>
    <row r="85" spans="1:18" ht="15.75" outlineLevel="1">
      <c r="A85" s="29"/>
      <c r="B85" s="52"/>
      <c r="C85" s="821" t="s">
        <v>1440</v>
      </c>
      <c r="D85" s="821"/>
      <c r="E85" s="821"/>
      <c r="F85" s="821"/>
      <c r="G85" s="821"/>
      <c r="H85" s="821"/>
      <c r="I85" s="587">
        <v>0.06</v>
      </c>
      <c r="J85" s="203"/>
      <c r="K85" s="19"/>
      <c r="L85" s="6"/>
      <c r="M85" s="6"/>
      <c r="R85" s="28"/>
    </row>
    <row r="86" spans="1:18" ht="30" customHeight="1" outlineLevel="1">
      <c r="A86" s="29"/>
      <c r="B86" s="52"/>
      <c r="C86" s="821" t="s">
        <v>1443</v>
      </c>
      <c r="D86" s="821"/>
      <c r="E86" s="821"/>
      <c r="F86" s="821"/>
      <c r="G86" s="821"/>
      <c r="H86" s="821"/>
      <c r="I86" s="587">
        <v>0.03</v>
      </c>
      <c r="J86" s="203"/>
      <c r="K86" s="209"/>
      <c r="L86" s="6"/>
      <c r="M86" s="6"/>
      <c r="R86" s="28"/>
    </row>
    <row r="87" spans="1:18" ht="30" customHeight="1" outlineLevel="1">
      <c r="A87" s="29"/>
      <c r="B87" s="52"/>
      <c r="C87" s="821" t="s">
        <v>1444</v>
      </c>
      <c r="D87" s="821"/>
      <c r="E87" s="821"/>
      <c r="F87" s="821"/>
      <c r="G87" s="821"/>
      <c r="H87" s="821"/>
      <c r="I87" s="587">
        <v>0.02</v>
      </c>
      <c r="J87" s="203"/>
      <c r="K87" s="209"/>
      <c r="L87" s="6"/>
      <c r="M87" s="6"/>
      <c r="R87" s="28"/>
    </row>
    <row r="88" spans="1:18" ht="8.1" customHeight="1" outlineLevel="1">
      <c r="A88" s="29"/>
      <c r="B88" s="52"/>
      <c r="C88" s="354"/>
      <c r="D88" s="580"/>
      <c r="E88" s="268"/>
      <c r="F88" s="269"/>
      <c r="G88" s="268"/>
      <c r="H88" s="699"/>
      <c r="I88" s="699"/>
      <c r="J88" s="203"/>
      <c r="K88" s="19"/>
      <c r="L88" s="6"/>
      <c r="M88" s="6"/>
      <c r="R88" s="28"/>
    </row>
    <row r="89" spans="1:18" ht="15" customHeight="1" outlineLevel="1">
      <c r="A89" s="29"/>
      <c r="B89" s="52"/>
      <c r="C89" s="376" t="s">
        <v>1436</v>
      </c>
      <c r="D89" s="376"/>
      <c r="E89" s="376"/>
      <c r="F89" s="376"/>
      <c r="G89" s="376"/>
      <c r="H89" s="376"/>
      <c r="I89" s="376"/>
      <c r="J89" s="203"/>
      <c r="K89" s="19"/>
      <c r="L89" s="6"/>
      <c r="M89" s="6"/>
      <c r="R89" s="28"/>
    </row>
    <row r="90" spans="1:18" ht="8.1" customHeight="1" outlineLevel="1">
      <c r="A90" s="29"/>
      <c r="B90" s="52"/>
      <c r="C90" s="354"/>
      <c r="D90" s="580"/>
      <c r="E90" s="268"/>
      <c r="F90" s="269"/>
      <c r="G90" s="268"/>
      <c r="H90" s="699"/>
      <c r="I90" s="699"/>
      <c r="J90" s="203"/>
      <c r="K90" s="19"/>
      <c r="L90" s="6"/>
      <c r="M90" s="6"/>
      <c r="R90" s="28"/>
    </row>
    <row r="91" spans="1:18" ht="15" customHeight="1" outlineLevel="1">
      <c r="A91" s="29"/>
      <c r="B91" s="52"/>
      <c r="C91" s="354" t="s">
        <v>1437</v>
      </c>
      <c r="D91" s="254"/>
      <c r="E91" s="359"/>
      <c r="F91" s="359"/>
      <c r="G91" s="359"/>
      <c r="H91" s="359"/>
      <c r="I91" s="514">
        <v>500</v>
      </c>
      <c r="J91" s="203"/>
      <c r="K91" s="17"/>
      <c r="L91" s="6"/>
      <c r="M91" s="6"/>
      <c r="R91" s="28"/>
    </row>
    <row r="92" spans="1:18" ht="15" customHeight="1" outlineLevel="1">
      <c r="A92" s="29"/>
      <c r="B92" s="52"/>
      <c r="C92" s="254"/>
      <c r="D92" s="254"/>
      <c r="E92" s="397"/>
      <c r="F92" s="397"/>
      <c r="G92" s="357"/>
      <c r="H92" s="405" t="s">
        <v>1100</v>
      </c>
      <c r="I92" s="586">
        <f>IF(I91="","",I91*(1+$I$87+$I$85))</f>
        <v>540</v>
      </c>
      <c r="J92" s="203"/>
      <c r="K92" s="17"/>
      <c r="L92" s="6"/>
      <c r="M92" s="6"/>
      <c r="R92" s="28"/>
    </row>
    <row r="93" spans="1:18" ht="8.1" customHeight="1" outlineLevel="1">
      <c r="A93" s="29"/>
      <c r="B93" s="52"/>
      <c r="C93" s="254"/>
      <c r="D93" s="254"/>
      <c r="E93" s="397"/>
      <c r="F93" s="397"/>
      <c r="G93" s="357"/>
      <c r="H93" s="358"/>
      <c r="I93" s="268"/>
      <c r="J93" s="203"/>
      <c r="K93" s="17"/>
      <c r="L93" s="6"/>
      <c r="M93" s="6"/>
      <c r="R93" s="28"/>
    </row>
    <row r="94" spans="1:18" ht="15" customHeight="1" outlineLevel="1">
      <c r="A94" s="29"/>
      <c r="B94" s="52"/>
      <c r="C94" s="354" t="s">
        <v>1438</v>
      </c>
      <c r="D94" s="254"/>
      <c r="E94" s="359"/>
      <c r="F94" s="359"/>
      <c r="G94" s="359"/>
      <c r="H94" s="359"/>
      <c r="I94" s="514">
        <v>150000</v>
      </c>
      <c r="J94" s="203"/>
      <c r="K94" s="17"/>
      <c r="L94" s="6"/>
      <c r="M94" s="6"/>
      <c r="R94" s="28"/>
    </row>
    <row r="95" spans="1:18" ht="15" customHeight="1" outlineLevel="1">
      <c r="A95" s="29"/>
      <c r="B95" s="52"/>
      <c r="C95" s="254"/>
      <c r="D95" s="254"/>
      <c r="E95" s="397"/>
      <c r="F95" s="397"/>
      <c r="G95" s="397"/>
      <c r="H95" s="405" t="s">
        <v>1366</v>
      </c>
      <c r="I95" s="586">
        <f>IF(I94="","",I94*(1+$I$87+$I$86+$I$85))</f>
        <v>166500.00000000003</v>
      </c>
      <c r="J95" s="203"/>
      <c r="K95" s="17"/>
      <c r="L95" s="6"/>
      <c r="M95" s="6"/>
      <c r="R95" s="28"/>
    </row>
    <row r="96" spans="1:18" ht="8.1" customHeight="1" outlineLevel="1">
      <c r="A96" s="29"/>
      <c r="B96" s="52"/>
      <c r="C96" s="397"/>
      <c r="D96" s="397"/>
      <c r="E96" s="268"/>
      <c r="F96" s="269"/>
      <c r="G96" s="268"/>
      <c r="H96" s="268"/>
      <c r="I96" s="268"/>
      <c r="J96" s="203"/>
      <c r="K96" s="17"/>
      <c r="L96" s="6"/>
      <c r="M96" s="6"/>
      <c r="R96" s="28"/>
    </row>
    <row r="97" spans="1:18" ht="15" customHeight="1" outlineLevel="1">
      <c r="A97" s="29"/>
      <c r="B97" s="52"/>
      <c r="C97" s="356" t="s">
        <v>1142</v>
      </c>
      <c r="D97" s="355"/>
      <c r="E97" s="355"/>
      <c r="F97" s="355"/>
      <c r="G97" s="355"/>
      <c r="H97" s="355"/>
      <c r="I97" s="355"/>
      <c r="J97" s="203"/>
      <c r="K97" s="17"/>
      <c r="L97" s="6"/>
      <c r="M97" s="6"/>
      <c r="R97" s="28"/>
    </row>
    <row r="98" spans="1:18" ht="27" customHeight="1" outlineLevel="1">
      <c r="A98" s="29"/>
      <c r="B98" s="52"/>
      <c r="C98" s="504" t="s">
        <v>1048</v>
      </c>
      <c r="D98" s="901" t="s">
        <v>1445</v>
      </c>
      <c r="E98" s="801"/>
      <c r="F98" s="801"/>
      <c r="G98" s="801"/>
      <c r="H98" s="801"/>
      <c r="I98" s="801"/>
      <c r="J98" s="203"/>
      <c r="K98" s="17"/>
      <c r="L98" s="6"/>
      <c r="M98" s="6"/>
      <c r="R98" s="28"/>
    </row>
    <row r="99" spans="1:18" ht="45" customHeight="1" outlineLevel="1">
      <c r="A99" s="29"/>
      <c r="B99" s="52"/>
      <c r="C99" s="504" t="s">
        <v>1048</v>
      </c>
      <c r="D99" s="901" t="s">
        <v>1451</v>
      </c>
      <c r="E99" s="801"/>
      <c r="F99" s="801"/>
      <c r="G99" s="801"/>
      <c r="H99" s="801"/>
      <c r="I99" s="801"/>
      <c r="J99" s="203"/>
      <c r="K99" s="17"/>
      <c r="L99" s="6"/>
      <c r="M99" s="6"/>
      <c r="R99" s="28"/>
    </row>
    <row r="100" spans="1:18" ht="30" customHeight="1" outlineLevel="1">
      <c r="A100" s="29"/>
      <c r="B100" s="52"/>
      <c r="C100" s="504" t="s">
        <v>1048</v>
      </c>
      <c r="D100" s="901" t="s">
        <v>1441</v>
      </c>
      <c r="E100" s="801"/>
      <c r="F100" s="801"/>
      <c r="G100" s="801"/>
      <c r="H100" s="801"/>
      <c r="I100" s="801"/>
      <c r="J100" s="203"/>
      <c r="K100" s="17"/>
      <c r="L100" s="6"/>
      <c r="M100" s="6"/>
      <c r="R100" s="28"/>
    </row>
    <row r="101" spans="1:18" ht="8.1" customHeight="1" outlineLevel="1">
      <c r="A101" s="29"/>
      <c r="B101" s="52"/>
      <c r="C101" s="254"/>
      <c r="D101" s="354"/>
      <c r="E101" s="354"/>
      <c r="F101" s="352"/>
      <c r="G101" s="352"/>
      <c r="H101" s="360"/>
      <c r="I101" s="360"/>
      <c r="J101" s="203"/>
      <c r="K101" s="17"/>
      <c r="L101" s="6"/>
      <c r="M101" s="6"/>
      <c r="R101" s="28"/>
    </row>
    <row r="102" spans="1:18" ht="15" customHeight="1" outlineLevel="1">
      <c r="A102" s="29"/>
      <c r="B102" s="52"/>
      <c r="C102" s="819" t="s">
        <v>1152</v>
      </c>
      <c r="D102" s="819"/>
      <c r="E102" s="819"/>
      <c r="F102" s="819"/>
      <c r="G102" s="819"/>
      <c r="H102" s="819"/>
      <c r="I102" s="819"/>
      <c r="J102" s="203"/>
      <c r="K102" s="17"/>
      <c r="L102" s="6"/>
      <c r="M102" s="6"/>
      <c r="R102" s="28"/>
    </row>
    <row r="103" spans="1:18" ht="15" customHeight="1" outlineLevel="1">
      <c r="A103" s="29"/>
      <c r="B103" s="52"/>
      <c r="C103" s="829" t="s">
        <v>1432</v>
      </c>
      <c r="D103" s="829"/>
      <c r="E103" s="829"/>
      <c r="F103" s="829"/>
      <c r="G103" s="829"/>
      <c r="H103" s="829"/>
      <c r="I103" s="829"/>
      <c r="J103" s="203"/>
      <c r="K103" s="17"/>
      <c r="L103" s="6"/>
      <c r="M103" s="6"/>
      <c r="R103" s="28"/>
    </row>
    <row r="104" spans="1:18" ht="69.95" customHeight="1" outlineLevel="1">
      <c r="A104" s="29"/>
      <c r="B104" s="52"/>
      <c r="C104" s="764" t="s">
        <v>1446</v>
      </c>
      <c r="D104" s="765"/>
      <c r="E104" s="765"/>
      <c r="F104" s="765"/>
      <c r="G104" s="765"/>
      <c r="H104" s="765"/>
      <c r="I104" s="766"/>
      <c r="J104" s="203"/>
      <c r="K104" s="17"/>
      <c r="L104" s="6"/>
      <c r="M104" s="6"/>
      <c r="R104" s="28"/>
    </row>
    <row r="105" spans="1:18" ht="15" customHeight="1">
      <c r="A105" s="29"/>
      <c r="B105" s="52"/>
      <c r="C105" s="397"/>
      <c r="D105" s="397"/>
      <c r="E105" s="398"/>
      <c r="F105" s="398"/>
      <c r="G105" s="398"/>
      <c r="H105" s="398"/>
      <c r="I105" s="398"/>
      <c r="J105" s="444"/>
      <c r="K105" s="17"/>
      <c r="L105" s="6"/>
      <c r="M105" s="6"/>
    </row>
    <row r="106" spans="1:18" ht="15" customHeight="1">
      <c r="A106" s="29"/>
      <c r="B106" s="52"/>
      <c r="C106" s="379" t="s">
        <v>1385</v>
      </c>
      <c r="D106" s="379"/>
      <c r="E106" s="379"/>
      <c r="F106" s="379"/>
      <c r="G106" s="379"/>
      <c r="H106" s="380" t="s">
        <v>1243</v>
      </c>
      <c r="I106" s="535" t="s">
        <v>81</v>
      </c>
      <c r="J106" s="444"/>
      <c r="K106" s="17"/>
      <c r="L106" s="6"/>
      <c r="M106" s="6"/>
    </row>
    <row r="107" spans="1:18" ht="8.1" customHeight="1">
      <c r="A107" s="29"/>
      <c r="B107" s="52"/>
      <c r="C107" s="398"/>
      <c r="D107" s="398"/>
      <c r="E107" s="398"/>
      <c r="F107" s="398"/>
      <c r="G107" s="398"/>
      <c r="H107" s="398"/>
      <c r="I107" s="398"/>
      <c r="J107" s="444"/>
      <c r="K107" s="17"/>
      <c r="L107" s="6"/>
      <c r="M107" s="6"/>
    </row>
    <row r="108" spans="1:18" ht="30" customHeight="1">
      <c r="A108" s="29"/>
      <c r="B108" s="52"/>
      <c r="C108" s="360"/>
      <c r="D108" s="360"/>
      <c r="E108" s="360"/>
      <c r="F108" s="360"/>
      <c r="G108" s="254" t="str">
        <f>_xlfn.CONCAT("Total ILCs for ",C106)</f>
        <v>Total ILCs for a.iii Report As-Built Transportation Data (Max 2%)</v>
      </c>
      <c r="H108" s="930">
        <f>IF(AND(I106="Yes",COUNTA(C115:G119,C122:C123,I115:I119)&lt;27),'Backend (to be hidden)'!$CM$29,0.02)</f>
        <v>0.02</v>
      </c>
      <c r="I108" s="931"/>
      <c r="J108" s="444"/>
      <c r="K108" s="17"/>
      <c r="L108" s="6"/>
      <c r="M108" s="6"/>
    </row>
    <row r="109" spans="1:18" ht="8.1" customHeight="1">
      <c r="A109" s="29"/>
      <c r="B109" s="52"/>
      <c r="C109" s="360"/>
      <c r="D109" s="360"/>
      <c r="E109" s="360"/>
      <c r="F109" s="360"/>
      <c r="G109" s="254"/>
      <c r="H109" s="254"/>
      <c r="I109" s="371"/>
      <c r="J109" s="444"/>
      <c r="K109" s="17"/>
      <c r="L109" s="6"/>
      <c r="M109" s="6"/>
    </row>
    <row r="110" spans="1:18" ht="66.75" customHeight="1">
      <c r="A110" s="29"/>
      <c r="B110" s="141"/>
      <c r="C110" s="821" t="s">
        <v>1477</v>
      </c>
      <c r="D110" s="821"/>
      <c r="E110" s="821"/>
      <c r="F110" s="821"/>
      <c r="G110" s="821"/>
      <c r="H110" s="821"/>
      <c r="I110" s="821"/>
      <c r="J110" s="203"/>
      <c r="K110" s="17"/>
      <c r="L110" s="6"/>
      <c r="M110" s="6"/>
      <c r="R110" s="28"/>
    </row>
    <row r="111" spans="1:18" s="437" customFormat="1" ht="15" customHeight="1">
      <c r="A111" s="431"/>
      <c r="B111" s="432"/>
      <c r="C111" s="461" t="s">
        <v>1240</v>
      </c>
      <c r="D111" s="433"/>
      <c r="E111" s="435"/>
      <c r="F111" s="434"/>
      <c r="G111" s="435"/>
      <c r="H111" s="435"/>
      <c r="I111" s="435"/>
      <c r="J111" s="436"/>
      <c r="K111" s="538"/>
      <c r="L111" s="539"/>
      <c r="M111" s="539"/>
    </row>
    <row r="112" spans="1:18" ht="8.1" customHeight="1" outlineLevel="1">
      <c r="A112" s="29"/>
      <c r="B112" s="447"/>
      <c r="C112" s="354"/>
      <c r="D112" s="453"/>
      <c r="E112" s="455"/>
      <c r="F112" s="454"/>
      <c r="G112" s="455"/>
      <c r="H112" s="455"/>
      <c r="I112" s="455"/>
      <c r="J112" s="203"/>
      <c r="K112" s="540"/>
      <c r="L112" s="6"/>
      <c r="M112" s="6"/>
      <c r="R112" s="28"/>
    </row>
    <row r="113" spans="1:18" ht="54.95" customHeight="1" outlineLevel="1">
      <c r="A113" s="29"/>
      <c r="B113" s="52"/>
      <c r="C113" s="401" t="s">
        <v>1052</v>
      </c>
      <c r="D113" s="512" t="s">
        <v>1084</v>
      </c>
      <c r="E113" s="512" t="s">
        <v>1085</v>
      </c>
      <c r="F113" s="952" t="s">
        <v>1086</v>
      </c>
      <c r="G113" s="953"/>
      <c r="H113" s="400" t="s">
        <v>1145</v>
      </c>
      <c r="I113" s="400" t="s">
        <v>1478</v>
      </c>
      <c r="J113" s="203"/>
      <c r="K113" s="209"/>
      <c r="L113" s="6"/>
      <c r="M113" s="6"/>
      <c r="R113" s="28"/>
    </row>
    <row r="114" spans="1:18" ht="15" customHeight="1" outlineLevel="1">
      <c r="A114" s="29"/>
      <c r="B114" s="52"/>
      <c r="C114" s="491" t="s">
        <v>1125</v>
      </c>
      <c r="D114" s="492" t="s">
        <v>1118</v>
      </c>
      <c r="E114" s="492" t="s">
        <v>1309</v>
      </c>
      <c r="F114" s="936" t="s">
        <v>1126</v>
      </c>
      <c r="G114" s="937"/>
      <c r="H114" s="704" t="s">
        <v>1308</v>
      </c>
      <c r="I114" s="705" t="s">
        <v>1307</v>
      </c>
      <c r="J114" s="203"/>
      <c r="K114" s="17"/>
      <c r="L114" s="6"/>
      <c r="M114" s="6"/>
      <c r="R114" s="28"/>
    </row>
    <row r="115" spans="1:18" ht="30" customHeight="1" outlineLevel="1">
      <c r="A115" s="29"/>
      <c r="B115" s="52"/>
      <c r="C115" s="515" t="s">
        <v>245</v>
      </c>
      <c r="D115" s="516">
        <v>3700</v>
      </c>
      <c r="E115" s="516">
        <v>15</v>
      </c>
      <c r="F115" s="898" t="s">
        <v>1063</v>
      </c>
      <c r="G115" s="900"/>
      <c r="H115" s="396">
        <f>'Backend (to be hidden)'!EB17</f>
        <v>6108.1200621400567</v>
      </c>
      <c r="I115" s="516">
        <v>28000</v>
      </c>
      <c r="J115" s="203"/>
      <c r="K115" s="541"/>
      <c r="L115" s="6"/>
      <c r="M115" s="6"/>
      <c r="R115" s="28"/>
    </row>
    <row r="116" spans="1:18" ht="30" customHeight="1" outlineLevel="1">
      <c r="A116" s="29"/>
      <c r="B116" s="52"/>
      <c r="C116" s="515" t="s">
        <v>1353</v>
      </c>
      <c r="D116" s="516">
        <v>72</v>
      </c>
      <c r="E116" s="516">
        <v>1500</v>
      </c>
      <c r="F116" s="898" t="s">
        <v>1248</v>
      </c>
      <c r="G116" s="900"/>
      <c r="H116" s="396">
        <f>'Backend (to be hidden)'!EB18</f>
        <v>367.23037461226437</v>
      </c>
      <c r="I116" s="516">
        <v>500</v>
      </c>
      <c r="J116" s="203"/>
      <c r="K116" s="209"/>
      <c r="L116" s="6"/>
      <c r="M116" s="6"/>
      <c r="R116" s="28"/>
    </row>
    <row r="117" spans="1:18" ht="30" customHeight="1" outlineLevel="1">
      <c r="A117" s="29"/>
      <c r="B117" s="447"/>
      <c r="C117" s="515" t="s">
        <v>1354</v>
      </c>
      <c r="D117" s="516">
        <v>117</v>
      </c>
      <c r="E117" s="516">
        <v>5000</v>
      </c>
      <c r="F117" s="898" t="s">
        <v>1248</v>
      </c>
      <c r="G117" s="900"/>
      <c r="H117" s="458">
        <f>'Backend (to be hidden)'!EB19</f>
        <v>1224.1012487075479</v>
      </c>
      <c r="I117" s="516">
        <v>1200</v>
      </c>
      <c r="J117" s="203"/>
      <c r="K117" s="540"/>
      <c r="L117" s="6"/>
      <c r="M117" s="6"/>
      <c r="R117" s="28"/>
    </row>
    <row r="118" spans="1:18" ht="30" customHeight="1" outlineLevel="1">
      <c r="A118" s="29"/>
      <c r="B118" s="52"/>
      <c r="C118" s="515" t="s">
        <v>1355</v>
      </c>
      <c r="D118" s="516">
        <v>254</v>
      </c>
      <c r="E118" s="516">
        <v>15000</v>
      </c>
      <c r="F118" s="898" t="s">
        <v>1248</v>
      </c>
      <c r="G118" s="900"/>
      <c r="H118" s="396">
        <f>'Backend (to be hidden)'!EB20</f>
        <v>3672.3037461226436</v>
      </c>
      <c r="I118" s="516">
        <v>2100</v>
      </c>
      <c r="J118" s="203"/>
      <c r="K118" s="17"/>
      <c r="L118" s="6"/>
      <c r="M118" s="6"/>
      <c r="R118" s="28"/>
    </row>
    <row r="119" spans="1:18" ht="30" customHeight="1" outlineLevel="1">
      <c r="A119" s="29"/>
      <c r="B119" s="52"/>
      <c r="C119" s="515" t="s">
        <v>1356</v>
      </c>
      <c r="D119" s="516">
        <v>165</v>
      </c>
      <c r="E119" s="516">
        <v>200</v>
      </c>
      <c r="F119" s="898" t="s">
        <v>1116</v>
      </c>
      <c r="G119" s="900"/>
      <c r="H119" s="396">
        <f>'Backend (to be hidden)'!EB21</f>
        <v>4204.1880960914868</v>
      </c>
      <c r="I119" s="516">
        <v>3000</v>
      </c>
      <c r="J119" s="203"/>
      <c r="K119" s="17"/>
      <c r="L119" s="6"/>
      <c r="M119" s="6"/>
      <c r="R119" s="28"/>
    </row>
    <row r="120" spans="1:18" ht="8.1" customHeight="1" outlineLevel="1">
      <c r="A120" s="29"/>
      <c r="B120" s="52"/>
      <c r="C120" s="397"/>
      <c r="D120" s="397"/>
      <c r="E120" s="268"/>
      <c r="F120" s="269"/>
      <c r="G120" s="268" t="s">
        <v>1053</v>
      </c>
      <c r="H120" s="268"/>
      <c r="I120" s="268"/>
      <c r="J120" s="203"/>
      <c r="K120" s="17"/>
      <c r="L120" s="6"/>
      <c r="M120" s="6"/>
      <c r="R120" s="28"/>
    </row>
    <row r="121" spans="1:18" ht="15" customHeight="1" outlineLevel="1">
      <c r="A121" s="29"/>
      <c r="B121" s="52"/>
      <c r="C121" s="356" t="s">
        <v>1142</v>
      </c>
      <c r="D121" s="355"/>
      <c r="E121" s="355"/>
      <c r="F121" s="355"/>
      <c r="G121" s="355"/>
      <c r="H121" s="355"/>
      <c r="I121" s="355"/>
      <c r="J121" s="203"/>
      <c r="K121" s="17"/>
      <c r="L121" s="6"/>
      <c r="M121" s="6"/>
      <c r="R121" s="28"/>
    </row>
    <row r="122" spans="1:18" ht="15.75" outlineLevel="1">
      <c r="A122" s="29"/>
      <c r="B122" s="52"/>
      <c r="C122" s="504" t="s">
        <v>1048</v>
      </c>
      <c r="D122" s="901" t="s">
        <v>1449</v>
      </c>
      <c r="E122" s="801"/>
      <c r="F122" s="801"/>
      <c r="G122" s="801"/>
      <c r="H122" s="801"/>
      <c r="I122" s="801"/>
      <c r="J122" s="203"/>
      <c r="K122" s="17"/>
      <c r="L122" s="6"/>
      <c r="M122" s="6"/>
      <c r="R122" s="28"/>
    </row>
    <row r="123" spans="1:18" ht="30" customHeight="1" outlineLevel="1">
      <c r="A123" s="29"/>
      <c r="B123" s="52"/>
      <c r="C123" s="504" t="s">
        <v>1048</v>
      </c>
      <c r="D123" s="901" t="s">
        <v>1452</v>
      </c>
      <c r="E123" s="801"/>
      <c r="F123" s="801"/>
      <c r="G123" s="801"/>
      <c r="H123" s="801"/>
      <c r="I123" s="801"/>
      <c r="J123" s="203"/>
      <c r="K123" s="17"/>
      <c r="L123" s="6"/>
      <c r="M123" s="6"/>
      <c r="R123" s="28"/>
    </row>
    <row r="124" spans="1:18" ht="8.1" customHeight="1" outlineLevel="1">
      <c r="A124" s="29"/>
      <c r="B124" s="52"/>
      <c r="C124" s="35"/>
      <c r="D124" s="35"/>
      <c r="E124" s="35"/>
      <c r="F124" s="269"/>
      <c r="G124" s="268"/>
      <c r="H124" s="35"/>
      <c r="I124" s="35"/>
      <c r="J124" s="203"/>
      <c r="K124" s="17"/>
      <c r="L124" s="6"/>
      <c r="M124" s="6"/>
      <c r="R124" s="28"/>
    </row>
    <row r="125" spans="1:18" ht="15" customHeight="1" outlineLevel="1">
      <c r="A125" s="29"/>
      <c r="B125" s="52"/>
      <c r="C125" s="819" t="s">
        <v>1055</v>
      </c>
      <c r="D125" s="819"/>
      <c r="E125" s="819"/>
      <c r="F125" s="819"/>
      <c r="G125" s="819"/>
      <c r="H125" s="819"/>
      <c r="I125" s="819"/>
      <c r="J125" s="203"/>
      <c r="K125" s="17"/>
      <c r="L125" s="6"/>
      <c r="M125" s="6"/>
      <c r="R125" s="28"/>
    </row>
    <row r="126" spans="1:18" ht="15" customHeight="1" outlineLevel="1">
      <c r="A126" s="29"/>
      <c r="B126" s="52"/>
      <c r="C126" s="829" t="s">
        <v>1432</v>
      </c>
      <c r="D126" s="829"/>
      <c r="E126" s="829"/>
      <c r="F126" s="829"/>
      <c r="G126" s="829"/>
      <c r="H126" s="829"/>
      <c r="I126" s="829"/>
      <c r="J126" s="203"/>
      <c r="K126" s="17"/>
      <c r="L126" s="6"/>
      <c r="M126" s="6"/>
      <c r="R126" s="28"/>
    </row>
    <row r="127" spans="1:18" ht="69.95" customHeight="1" outlineLevel="1">
      <c r="A127" s="29"/>
      <c r="B127" s="52"/>
      <c r="C127" s="904"/>
      <c r="D127" s="905"/>
      <c r="E127" s="905"/>
      <c r="F127" s="905"/>
      <c r="G127" s="905"/>
      <c r="H127" s="905"/>
      <c r="I127" s="906"/>
      <c r="J127" s="203"/>
      <c r="K127" s="17"/>
      <c r="L127" s="6"/>
      <c r="M127" s="6"/>
      <c r="R127" s="28"/>
    </row>
    <row r="128" spans="1:18" ht="15" customHeight="1">
      <c r="A128" s="29"/>
      <c r="B128" s="52"/>
      <c r="C128" s="35"/>
      <c r="D128" s="35"/>
      <c r="E128" s="35"/>
      <c r="F128" s="35"/>
      <c r="G128" s="35"/>
      <c r="H128" s="35"/>
      <c r="I128" s="35"/>
      <c r="J128" s="203"/>
      <c r="K128" s="17"/>
      <c r="L128" s="6"/>
      <c r="M128" s="6"/>
      <c r="R128" s="28"/>
    </row>
    <row r="129" spans="1:18" ht="15" customHeight="1">
      <c r="A129" s="29"/>
      <c r="B129" s="52"/>
      <c r="C129" s="379" t="s">
        <v>1386</v>
      </c>
      <c r="D129" s="379"/>
      <c r="E129" s="379"/>
      <c r="F129" s="379"/>
      <c r="G129" s="379"/>
      <c r="H129" s="380" t="s">
        <v>1243</v>
      </c>
      <c r="I129" s="395" t="s">
        <v>81</v>
      </c>
      <c r="J129" s="444"/>
      <c r="K129" s="17"/>
      <c r="L129" s="6"/>
      <c r="M129" s="6"/>
    </row>
    <row r="130" spans="1:18" ht="8.1" customHeight="1">
      <c r="A130" s="29"/>
      <c r="B130" s="52"/>
      <c r="C130" s="192"/>
      <c r="D130" s="192"/>
      <c r="E130" s="398"/>
      <c r="F130" s="398"/>
      <c r="G130" s="398"/>
      <c r="H130" s="398"/>
      <c r="I130" s="398"/>
      <c r="J130" s="444"/>
      <c r="K130" s="17"/>
      <c r="L130" s="6"/>
      <c r="M130" s="6"/>
    </row>
    <row r="131" spans="1:18" ht="30" customHeight="1">
      <c r="A131" s="29"/>
      <c r="B131" s="52"/>
      <c r="C131" s="866" t="s">
        <v>1431</v>
      </c>
      <c r="D131" s="866"/>
      <c r="E131" s="866"/>
      <c r="F131" s="866"/>
      <c r="G131" s="932"/>
      <c r="H131" s="930">
        <f>IF(AND(SUMIF(H137:H139,"Yes",I137:I139)&gt;0,COUNTA(C144:C146)&gt;2),SUMIF(H137:H139,"Yes",I137:I139),'Backend (to be hidden)'!CM29)</f>
        <v>0.05</v>
      </c>
      <c r="I131" s="931"/>
      <c r="J131" s="444"/>
      <c r="K131" s="17"/>
      <c r="L131" s="6"/>
      <c r="M131" s="6"/>
    </row>
    <row r="132" spans="1:18" ht="8.1" customHeight="1">
      <c r="A132" s="29"/>
      <c r="B132" s="52"/>
      <c r="C132" s="192"/>
      <c r="D132" s="192"/>
      <c r="E132" s="398"/>
      <c r="F132" s="398"/>
      <c r="G132" s="398"/>
      <c r="H132" s="398"/>
      <c r="I132" s="398"/>
      <c r="J132" s="444"/>
      <c r="K132" s="17"/>
      <c r="L132" s="6"/>
      <c r="M132" s="6"/>
    </row>
    <row r="133" spans="1:18">
      <c r="A133" s="29"/>
      <c r="B133" s="141"/>
      <c r="C133" s="807" t="s">
        <v>1324</v>
      </c>
      <c r="D133" s="807"/>
      <c r="E133" s="807"/>
      <c r="F133" s="807"/>
      <c r="G133" s="807"/>
      <c r="H133" s="807"/>
      <c r="I133" s="807"/>
      <c r="J133" s="444"/>
      <c r="K133" s="17"/>
      <c r="L133" s="6"/>
      <c r="M133" s="6"/>
    </row>
    <row r="134" spans="1:18" s="437" customFormat="1" ht="15" customHeight="1">
      <c r="A134" s="431"/>
      <c r="B134" s="452"/>
      <c r="C134" s="461" t="s">
        <v>1240</v>
      </c>
      <c r="D134" s="457"/>
      <c r="E134" s="457"/>
      <c r="F134" s="457"/>
      <c r="G134" s="457"/>
      <c r="H134" s="457"/>
      <c r="I134" s="457"/>
      <c r="J134" s="436"/>
      <c r="K134" s="538"/>
      <c r="L134" s="539"/>
      <c r="M134" s="539"/>
    </row>
    <row r="135" spans="1:18" ht="8.1" customHeight="1" outlineLevel="1">
      <c r="A135" s="29"/>
      <c r="B135" s="141"/>
      <c r="C135" s="403"/>
      <c r="D135" s="403"/>
      <c r="E135" s="403"/>
      <c r="F135" s="403"/>
      <c r="G135" s="403"/>
      <c r="H135" s="403"/>
      <c r="I135" s="403"/>
      <c r="J135" s="203"/>
      <c r="K135" s="17"/>
      <c r="L135" s="6"/>
      <c r="M135" s="6"/>
      <c r="R135" s="28"/>
    </row>
    <row r="136" spans="1:18" ht="15" customHeight="1" outlineLevel="1">
      <c r="A136" s="29"/>
      <c r="B136" s="52"/>
      <c r="C136" s="407"/>
      <c r="D136" s="407"/>
      <c r="E136" s="920" t="s">
        <v>1164</v>
      </c>
      <c r="F136" s="920"/>
      <c r="G136" s="941"/>
      <c r="H136" s="401" t="s">
        <v>554</v>
      </c>
      <c r="I136" s="400" t="s">
        <v>1144</v>
      </c>
      <c r="J136" s="203"/>
      <c r="K136" s="17"/>
      <c r="L136" s="6"/>
      <c r="M136" s="6"/>
      <c r="R136" s="28"/>
    </row>
    <row r="137" spans="1:18" ht="15" customHeight="1" outlineLevel="1">
      <c r="A137" s="29"/>
      <c r="B137" s="52"/>
      <c r="C137" s="407"/>
      <c r="D137" s="407"/>
      <c r="E137" s="942" t="s">
        <v>557</v>
      </c>
      <c r="F137" s="943"/>
      <c r="G137" s="944"/>
      <c r="H137" s="510" t="s">
        <v>81</v>
      </c>
      <c r="I137" s="406">
        <v>0.02</v>
      </c>
      <c r="J137" s="203">
        <f>IF(H137="Yes",1,0)</f>
        <v>1</v>
      </c>
      <c r="K137" s="17"/>
      <c r="L137" s="6"/>
      <c r="M137" s="6"/>
      <c r="R137" s="28"/>
    </row>
    <row r="138" spans="1:18" ht="15" customHeight="1" outlineLevel="1">
      <c r="A138" s="29"/>
      <c r="B138" s="447"/>
      <c r="C138" s="448"/>
      <c r="D138" s="448"/>
      <c r="E138" s="956" t="s">
        <v>558</v>
      </c>
      <c r="F138" s="957"/>
      <c r="G138" s="958"/>
      <c r="H138" s="517" t="s">
        <v>81</v>
      </c>
      <c r="I138" s="449">
        <v>0.02</v>
      </c>
      <c r="J138" s="203">
        <f>IF(H138="Yes",1,0)</f>
        <v>1</v>
      </c>
      <c r="K138" s="540"/>
      <c r="L138" s="6"/>
      <c r="M138" s="6"/>
      <c r="R138" s="28"/>
    </row>
    <row r="139" spans="1:18" ht="15" customHeight="1" outlineLevel="1">
      <c r="A139" s="29"/>
      <c r="B139" s="52"/>
      <c r="C139" s="407"/>
      <c r="D139" s="407"/>
      <c r="E139" s="942" t="s">
        <v>559</v>
      </c>
      <c r="F139" s="943"/>
      <c r="G139" s="944"/>
      <c r="H139" s="510" t="s">
        <v>81</v>
      </c>
      <c r="I139" s="406">
        <v>0.01</v>
      </c>
      <c r="J139" s="203">
        <f>IF(H139="Yes",1,0)</f>
        <v>1</v>
      </c>
      <c r="K139" s="536"/>
      <c r="L139" s="6"/>
      <c r="M139" s="6"/>
      <c r="R139" s="28"/>
    </row>
    <row r="140" spans="1:18" ht="8.1" customHeight="1" outlineLevel="1">
      <c r="A140" s="29"/>
      <c r="B140" s="52"/>
      <c r="C140" s="407"/>
      <c r="D140" s="407"/>
      <c r="E140" s="407"/>
      <c r="F140" s="408"/>
      <c r="G140" s="407"/>
      <c r="H140" s="407"/>
      <c r="I140" s="407"/>
      <c r="J140" s="203"/>
      <c r="K140" s="536"/>
      <c r="L140" s="6"/>
      <c r="M140" s="6"/>
      <c r="R140" s="28"/>
    </row>
    <row r="141" spans="1:18" ht="15" customHeight="1" outlineLevel="1">
      <c r="A141" s="29"/>
      <c r="B141" s="52"/>
      <c r="C141" s="407"/>
      <c r="D141" s="407"/>
      <c r="E141" s="407"/>
      <c r="F141" s="407"/>
      <c r="G141" s="409" t="s">
        <v>1479</v>
      </c>
      <c r="H141" s="925">
        <f>'4. Results &amp; Compliance'!$E$45</f>
        <v>70474.2</v>
      </c>
      <c r="I141" s="926"/>
      <c r="J141" s="203"/>
      <c r="K141" s="536"/>
      <c r="L141" s="6"/>
      <c r="M141" s="6"/>
      <c r="R141" s="28"/>
    </row>
    <row r="142" spans="1:18" ht="8.1" customHeight="1" outlineLevel="1">
      <c r="A142" s="29"/>
      <c r="B142" s="52"/>
      <c r="C142" s="397"/>
      <c r="D142" s="397"/>
      <c r="E142" s="268"/>
      <c r="F142" s="269"/>
      <c r="G142" s="268"/>
      <c r="H142" s="268"/>
      <c r="I142" s="268"/>
      <c r="J142" s="203"/>
      <c r="K142" s="17"/>
      <c r="L142" s="6"/>
      <c r="M142" s="6"/>
      <c r="R142" s="28"/>
    </row>
    <row r="143" spans="1:18" ht="15" customHeight="1" outlineLevel="1">
      <c r="A143" s="29"/>
      <c r="B143" s="52"/>
      <c r="C143" s="378" t="s">
        <v>1142</v>
      </c>
      <c r="D143" s="378"/>
      <c r="E143" s="378"/>
      <c r="F143" s="377"/>
      <c r="G143" s="377"/>
      <c r="H143" s="377"/>
      <c r="I143" s="377"/>
      <c r="J143" s="203"/>
      <c r="K143" s="17"/>
      <c r="L143" s="6"/>
      <c r="M143" s="6"/>
      <c r="R143" s="28"/>
    </row>
    <row r="144" spans="1:18" ht="30" customHeight="1" outlineLevel="1">
      <c r="A144" s="29"/>
      <c r="B144" s="52"/>
      <c r="C144" s="504" t="s">
        <v>1048</v>
      </c>
      <c r="D144" s="901" t="s">
        <v>1129</v>
      </c>
      <c r="E144" s="801"/>
      <c r="F144" s="801"/>
      <c r="G144" s="801"/>
      <c r="H144" s="801"/>
      <c r="I144" s="801"/>
      <c r="J144" s="203"/>
      <c r="K144" s="17"/>
      <c r="L144" s="6"/>
      <c r="M144" s="6"/>
      <c r="R144" s="28"/>
    </row>
    <row r="145" spans="1:19" ht="30" customHeight="1" outlineLevel="1">
      <c r="A145" s="29"/>
      <c r="B145" s="52"/>
      <c r="C145" s="504" t="s">
        <v>1048</v>
      </c>
      <c r="D145" s="901" t="s">
        <v>1379</v>
      </c>
      <c r="E145" s="801"/>
      <c r="F145" s="801"/>
      <c r="G145" s="801"/>
      <c r="H145" s="801"/>
      <c r="I145" s="801"/>
      <c r="J145" s="203"/>
      <c r="K145" s="17"/>
      <c r="L145" s="6"/>
      <c r="M145" s="6"/>
      <c r="R145" s="28"/>
    </row>
    <row r="146" spans="1:19" ht="15" customHeight="1" outlineLevel="1">
      <c r="A146" s="29"/>
      <c r="B146" s="52"/>
      <c r="C146" s="504" t="s">
        <v>1048</v>
      </c>
      <c r="D146" s="901" t="s">
        <v>1450</v>
      </c>
      <c r="E146" s="801"/>
      <c r="F146" s="801"/>
      <c r="G146" s="801"/>
      <c r="H146" s="801"/>
      <c r="I146" s="801"/>
      <c r="J146" s="203"/>
      <c r="K146" s="17"/>
      <c r="L146" s="6"/>
      <c r="M146" s="6"/>
      <c r="R146" s="28"/>
    </row>
    <row r="147" spans="1:19" ht="8.1" customHeight="1" outlineLevel="1">
      <c r="A147" s="29"/>
      <c r="B147" s="52"/>
      <c r="C147" s="394"/>
      <c r="D147" s="394"/>
      <c r="E147" s="394"/>
      <c r="F147" s="394"/>
      <c r="G147" s="394"/>
      <c r="H147" s="394"/>
      <c r="I147" s="394"/>
      <c r="J147" s="203"/>
      <c r="K147" s="17"/>
      <c r="L147" s="6"/>
      <c r="M147" s="6"/>
      <c r="R147" s="28"/>
    </row>
    <row r="148" spans="1:19" ht="15" customHeight="1" outlineLevel="1">
      <c r="A148" s="29"/>
      <c r="B148" s="52"/>
      <c r="C148" s="819" t="s">
        <v>1055</v>
      </c>
      <c r="D148" s="819"/>
      <c r="E148" s="819"/>
      <c r="F148" s="819"/>
      <c r="G148" s="819"/>
      <c r="H148" s="819"/>
      <c r="I148" s="819"/>
      <c r="J148" s="203"/>
      <c r="K148" s="17"/>
      <c r="L148" s="6"/>
      <c r="M148" s="6"/>
      <c r="R148" s="28"/>
    </row>
    <row r="149" spans="1:19" ht="15" customHeight="1" outlineLevel="1">
      <c r="A149" s="29"/>
      <c r="B149" s="52"/>
      <c r="C149" s="829" t="s">
        <v>1432</v>
      </c>
      <c r="D149" s="829"/>
      <c r="E149" s="829"/>
      <c r="F149" s="829"/>
      <c r="G149" s="829"/>
      <c r="H149" s="829"/>
      <c r="I149" s="829"/>
      <c r="J149" s="203"/>
      <c r="K149" s="17"/>
      <c r="L149" s="6"/>
      <c r="M149" s="6"/>
      <c r="R149" s="28"/>
    </row>
    <row r="150" spans="1:19" ht="69.95" customHeight="1" outlineLevel="1">
      <c r="A150" s="29"/>
      <c r="B150" s="52"/>
      <c r="C150" s="904"/>
      <c r="D150" s="905"/>
      <c r="E150" s="905"/>
      <c r="F150" s="905"/>
      <c r="G150" s="905"/>
      <c r="H150" s="905"/>
      <c r="I150" s="906"/>
      <c r="J150" s="203"/>
      <c r="K150" s="17"/>
      <c r="L150" s="6"/>
      <c r="M150" s="6"/>
      <c r="R150" s="28"/>
    </row>
    <row r="151" spans="1:19" ht="15" customHeight="1" thickBot="1">
      <c r="A151" s="29"/>
      <c r="B151" s="52"/>
      <c r="C151" s="397"/>
      <c r="D151" s="397"/>
      <c r="E151" s="268"/>
      <c r="F151" s="269"/>
      <c r="G151" s="268"/>
      <c r="H151" s="268"/>
      <c r="I151" s="268"/>
      <c r="J151" s="444"/>
      <c r="K151" s="17"/>
      <c r="L151" s="6"/>
      <c r="M151" s="6"/>
    </row>
    <row r="152" spans="1:19" ht="18.75" customHeight="1">
      <c r="A152" s="29"/>
      <c r="B152" s="185"/>
      <c r="C152" s="777" t="s">
        <v>1141</v>
      </c>
      <c r="D152" s="777"/>
      <c r="E152" s="777"/>
      <c r="F152" s="777"/>
      <c r="G152" s="777"/>
      <c r="H152" s="777"/>
      <c r="I152" s="777"/>
      <c r="J152" s="443"/>
      <c r="K152" s="17"/>
      <c r="L152" s="6"/>
      <c r="M152" s="6"/>
    </row>
    <row r="153" spans="1:19" ht="45" customHeight="1">
      <c r="A153" s="29"/>
      <c r="B153" s="52"/>
      <c r="C153" s="821" t="s">
        <v>1613</v>
      </c>
      <c r="D153" s="821"/>
      <c r="E153" s="821"/>
      <c r="F153" s="821"/>
      <c r="G153" s="821"/>
      <c r="H153" s="821"/>
      <c r="I153" s="821"/>
      <c r="J153" s="444"/>
      <c r="K153" s="17"/>
      <c r="L153" s="6"/>
      <c r="M153" s="6"/>
    </row>
    <row r="154" spans="1:19" ht="8.1" customHeight="1">
      <c r="A154" s="29"/>
      <c r="B154" s="52"/>
      <c r="C154" s="393"/>
      <c r="D154" s="393"/>
      <c r="E154" s="393"/>
      <c r="F154" s="393"/>
      <c r="G154" s="393"/>
      <c r="H154" s="393"/>
      <c r="I154" s="393"/>
      <c r="J154" s="444"/>
      <c r="K154" s="17"/>
      <c r="L154" s="6"/>
      <c r="M154" s="6"/>
    </row>
    <row r="155" spans="1:19" ht="15" customHeight="1">
      <c r="A155" s="29"/>
      <c r="B155" s="52"/>
      <c r="C155" s="379" t="s">
        <v>1387</v>
      </c>
      <c r="D155" s="379"/>
      <c r="E155" s="379"/>
      <c r="F155" s="379"/>
      <c r="G155" s="379"/>
      <c r="H155" s="380" t="s">
        <v>1243</v>
      </c>
      <c r="I155" s="395" t="s">
        <v>81</v>
      </c>
      <c r="J155" s="444"/>
      <c r="K155" s="17"/>
      <c r="L155" s="6"/>
      <c r="M155" s="6"/>
    </row>
    <row r="156" spans="1:19" ht="8.1" customHeight="1">
      <c r="A156" s="29"/>
      <c r="B156" s="52"/>
      <c r="C156" s="398"/>
      <c r="D156" s="398"/>
      <c r="E156" s="398"/>
      <c r="F156" s="398"/>
      <c r="G156" s="398"/>
      <c r="H156" s="398"/>
      <c r="I156" s="398"/>
      <c r="J156" s="444"/>
      <c r="K156" s="17"/>
      <c r="L156" s="6"/>
      <c r="M156" s="6"/>
    </row>
    <row r="157" spans="1:19" ht="30" customHeight="1">
      <c r="A157" s="431"/>
      <c r="B157" s="432"/>
      <c r="C157" s="438"/>
      <c r="D157" s="438"/>
      <c r="E157" s="438"/>
      <c r="F157" s="438"/>
      <c r="G157" s="433" t="str">
        <f>_xlfn.CONCAT("Total ILCs for ",C155)</f>
        <v>Total ILCs for b.i Relocate Existing Building (Max 5%)</v>
      </c>
      <c r="H157" s="930">
        <f>IF(COUNTA(E162:E165,H162:H167,C170)&gt;10,0.05,'Backend (to be hidden)'!$CM$29)</f>
        <v>0.05</v>
      </c>
      <c r="I157" s="931"/>
      <c r="J157" s="436"/>
      <c r="K157" s="538"/>
      <c r="L157" s="539"/>
      <c r="M157" s="539"/>
      <c r="N157" s="437"/>
      <c r="O157" s="437"/>
      <c r="P157" s="437"/>
      <c r="Q157" s="437"/>
      <c r="R157" s="437"/>
      <c r="S157" s="437"/>
    </row>
    <row r="158" spans="1:19" ht="8.1" customHeight="1">
      <c r="A158" s="29"/>
      <c r="B158" s="52"/>
      <c r="C158" s="398"/>
      <c r="D158" s="398"/>
      <c r="E158" s="398"/>
      <c r="F158" s="398"/>
      <c r="G158" s="398"/>
      <c r="H158" s="398"/>
      <c r="I158" s="398"/>
      <c r="J158" s="444"/>
      <c r="K158" s="17"/>
      <c r="L158" s="6"/>
      <c r="M158" s="6"/>
    </row>
    <row r="159" spans="1:19" ht="15" customHeight="1">
      <c r="A159" s="29"/>
      <c r="B159" s="141"/>
      <c r="C159" s="929" t="s">
        <v>1429</v>
      </c>
      <c r="D159" s="929"/>
      <c r="E159" s="929"/>
      <c r="F159" s="929"/>
      <c r="G159" s="929"/>
      <c r="H159" s="929"/>
      <c r="I159" s="929"/>
      <c r="J159" s="444"/>
      <c r="K159" s="17"/>
      <c r="L159" s="6"/>
      <c r="M159" s="6"/>
    </row>
    <row r="160" spans="1:19" s="437" customFormat="1" ht="15" customHeight="1">
      <c r="A160" s="431"/>
      <c r="B160" s="452"/>
      <c r="C160" s="461" t="s">
        <v>1240</v>
      </c>
      <c r="D160" s="457"/>
      <c r="E160" s="457"/>
      <c r="F160" s="457"/>
      <c r="G160" s="457"/>
      <c r="H160" s="457"/>
      <c r="I160" s="457"/>
      <c r="J160" s="436"/>
      <c r="K160" s="538"/>
      <c r="L160" s="539"/>
      <c r="M160" s="539"/>
    </row>
    <row r="161" spans="1:18" ht="8.1" customHeight="1" outlineLevel="1">
      <c r="A161" s="29"/>
      <c r="B161" s="141"/>
      <c r="C161" s="404"/>
      <c r="D161" s="404"/>
      <c r="E161" s="404"/>
      <c r="F161" s="404"/>
      <c r="G161" s="404"/>
      <c r="H161" s="404"/>
      <c r="I161" s="404"/>
      <c r="J161" s="203"/>
      <c r="K161" s="17"/>
      <c r="L161" s="6"/>
      <c r="M161" s="6"/>
      <c r="R161" s="28"/>
    </row>
    <row r="162" spans="1:18" ht="30" customHeight="1" outlineLevel="1">
      <c r="A162" s="29"/>
      <c r="B162" s="141"/>
      <c r="C162" s="846" t="s">
        <v>1249</v>
      </c>
      <c r="D162" s="747"/>
      <c r="E162" s="518">
        <v>1920</v>
      </c>
      <c r="F162" s="921" t="s">
        <v>1131</v>
      </c>
      <c r="G162" s="846"/>
      <c r="H162" s="939">
        <v>45417</v>
      </c>
      <c r="I162" s="940"/>
      <c r="J162" s="203"/>
      <c r="K162" s="17"/>
      <c r="L162" s="6"/>
      <c r="M162" s="6"/>
      <c r="R162" s="28"/>
    </row>
    <row r="163" spans="1:18" ht="30" customHeight="1" outlineLevel="1">
      <c r="A163" s="29"/>
      <c r="B163" s="141"/>
      <c r="C163" s="846" t="s">
        <v>1153</v>
      </c>
      <c r="D163" s="747"/>
      <c r="E163" s="516">
        <v>2300</v>
      </c>
      <c r="F163" s="921" t="s">
        <v>1250</v>
      </c>
      <c r="G163" s="846"/>
      <c r="H163" s="939" t="s">
        <v>1357</v>
      </c>
      <c r="I163" s="940"/>
      <c r="J163" s="203"/>
      <c r="K163" s="17"/>
      <c r="L163" s="6"/>
      <c r="M163" s="6"/>
      <c r="R163" s="28"/>
    </row>
    <row r="164" spans="1:18" ht="30" customHeight="1" outlineLevel="1">
      <c r="A164" s="29"/>
      <c r="B164" s="52"/>
      <c r="C164" s="846" t="s">
        <v>1147</v>
      </c>
      <c r="D164" s="747"/>
      <c r="E164" s="554">
        <f>CONVERT(E163,"ft^2","m^2")</f>
        <v>213.67699200000001</v>
      </c>
      <c r="F164" s="921" t="s">
        <v>1133</v>
      </c>
      <c r="G164" s="846"/>
      <c r="H164" s="939" t="s">
        <v>1358</v>
      </c>
      <c r="I164" s="940"/>
      <c r="J164" s="203"/>
      <c r="K164" s="506"/>
      <c r="L164" s="6"/>
      <c r="M164" s="6"/>
      <c r="R164" s="28"/>
    </row>
    <row r="165" spans="1:18" ht="30" customHeight="1" outlineLevel="1">
      <c r="A165" s="29"/>
      <c r="B165" s="52"/>
      <c r="C165" s="465"/>
      <c r="D165" s="429" t="s">
        <v>1130</v>
      </c>
      <c r="E165" s="516">
        <v>4</v>
      </c>
      <c r="F165" s="921" t="s">
        <v>1134</v>
      </c>
      <c r="G165" s="846"/>
      <c r="H165" s="939" t="s">
        <v>1331</v>
      </c>
      <c r="I165" s="940"/>
      <c r="J165" s="203"/>
      <c r="K165" s="17"/>
      <c r="L165" s="6"/>
      <c r="M165" s="6"/>
      <c r="R165" s="28"/>
    </row>
    <row r="166" spans="1:18" ht="30" customHeight="1" outlineLevel="1">
      <c r="A166" s="29"/>
      <c r="B166" s="52"/>
      <c r="C166" s="465"/>
      <c r="D166" s="580"/>
      <c r="E166" s="582"/>
      <c r="F166" s="846" t="s">
        <v>1453</v>
      </c>
      <c r="G166" s="846"/>
      <c r="H166" s="939" t="s">
        <v>1454</v>
      </c>
      <c r="I166" s="940"/>
      <c r="J166" s="203"/>
      <c r="K166" s="17"/>
      <c r="L166" s="6"/>
      <c r="M166" s="6"/>
      <c r="R166" s="28"/>
    </row>
    <row r="167" spans="1:18" ht="30" customHeight="1" outlineLevel="1">
      <c r="A167" s="29"/>
      <c r="B167" s="52"/>
      <c r="C167" s="398"/>
      <c r="D167" s="398"/>
      <c r="E167" s="398"/>
      <c r="F167" s="846" t="s">
        <v>1135</v>
      </c>
      <c r="G167" s="846"/>
      <c r="H167" s="939" t="s">
        <v>1359</v>
      </c>
      <c r="I167" s="940"/>
      <c r="J167" s="203"/>
      <c r="K167" s="17"/>
      <c r="L167" s="6"/>
      <c r="M167" s="6"/>
      <c r="R167" s="28"/>
    </row>
    <row r="168" spans="1:18" ht="8.1" customHeight="1" outlineLevel="1">
      <c r="A168" s="29"/>
      <c r="B168" s="52"/>
      <c r="C168" s="398"/>
      <c r="D168" s="398"/>
      <c r="E168" s="398"/>
      <c r="F168" s="398"/>
      <c r="G168" s="398"/>
      <c r="H168" s="398"/>
      <c r="I168" s="398"/>
      <c r="J168" s="203"/>
      <c r="K168" s="17"/>
      <c r="L168" s="6"/>
      <c r="M168" s="6"/>
      <c r="R168" s="28"/>
    </row>
    <row r="169" spans="1:18" ht="15" customHeight="1" outlineLevel="1">
      <c r="A169" s="29"/>
      <c r="B169" s="52"/>
      <c r="C169" s="378" t="s">
        <v>1142</v>
      </c>
      <c r="D169" s="377"/>
      <c r="E169" s="378"/>
      <c r="F169" s="377"/>
      <c r="G169" s="377"/>
      <c r="H169" s="377"/>
      <c r="I169" s="377"/>
      <c r="J169" s="203"/>
      <c r="K169" s="17"/>
      <c r="L169" s="6"/>
      <c r="M169" s="6"/>
      <c r="R169" s="28"/>
    </row>
    <row r="170" spans="1:18" ht="45" customHeight="1" outlineLevel="1">
      <c r="A170" s="29"/>
      <c r="B170" s="52"/>
      <c r="C170" s="504" t="s">
        <v>1048</v>
      </c>
      <c r="D170" s="901" t="s">
        <v>1686</v>
      </c>
      <c r="E170" s="801"/>
      <c r="F170" s="801"/>
      <c r="G170" s="801"/>
      <c r="H170" s="801"/>
      <c r="I170" s="801"/>
      <c r="J170" s="203"/>
      <c r="K170" s="17"/>
      <c r="L170" s="6"/>
      <c r="M170" s="6"/>
      <c r="R170" s="28"/>
    </row>
    <row r="171" spans="1:18" ht="8.1" customHeight="1" outlineLevel="1">
      <c r="A171" s="29"/>
      <c r="B171" s="52"/>
      <c r="C171" s="35"/>
      <c r="D171" s="35"/>
      <c r="E171" s="35"/>
      <c r="F171" s="269"/>
      <c r="G171" s="268"/>
      <c r="H171" s="35"/>
      <c r="I171" s="35"/>
      <c r="J171" s="203"/>
      <c r="K171" s="17"/>
      <c r="L171" s="6"/>
      <c r="M171" s="6"/>
      <c r="R171" s="28"/>
    </row>
    <row r="172" spans="1:18" ht="15" customHeight="1" outlineLevel="1">
      <c r="A172" s="29"/>
      <c r="B172" s="52"/>
      <c r="C172" s="819" t="s">
        <v>1455</v>
      </c>
      <c r="D172" s="819"/>
      <c r="E172" s="819"/>
      <c r="F172" s="819"/>
      <c r="G172" s="819"/>
      <c r="H172" s="819"/>
      <c r="I172" s="819"/>
      <c r="J172" s="203"/>
      <c r="K172" s="17"/>
      <c r="L172" s="6"/>
      <c r="M172" s="6"/>
      <c r="R172" s="28"/>
    </row>
    <row r="173" spans="1:18" ht="15" customHeight="1" outlineLevel="1">
      <c r="A173" s="29"/>
      <c r="B173" s="52"/>
      <c r="C173" s="806" t="s">
        <v>1432</v>
      </c>
      <c r="D173" s="806"/>
      <c r="E173" s="806"/>
      <c r="F173" s="806"/>
      <c r="G173" s="806"/>
      <c r="H173" s="806"/>
      <c r="I173" s="806"/>
      <c r="J173" s="203"/>
      <c r="K173" s="17"/>
      <c r="L173" s="6"/>
      <c r="M173" s="6"/>
      <c r="R173" s="28"/>
    </row>
    <row r="174" spans="1:18" ht="69.95" customHeight="1" outlineLevel="1">
      <c r="A174" s="29"/>
      <c r="B174" s="52"/>
      <c r="C174" s="922" t="s">
        <v>1360</v>
      </c>
      <c r="D174" s="923"/>
      <c r="E174" s="923"/>
      <c r="F174" s="923"/>
      <c r="G174" s="923"/>
      <c r="H174" s="923"/>
      <c r="I174" s="924"/>
      <c r="J174" s="203"/>
      <c r="K174" s="17"/>
      <c r="L174" s="6"/>
      <c r="M174" s="6"/>
      <c r="R174" s="28"/>
    </row>
    <row r="175" spans="1:18" ht="15" customHeight="1">
      <c r="A175" s="29"/>
      <c r="B175" s="52"/>
      <c r="C175" s="397"/>
      <c r="D175" s="397"/>
      <c r="E175" s="268"/>
      <c r="F175" s="269"/>
      <c r="G175" s="268"/>
      <c r="H175" s="268"/>
      <c r="I175" s="268"/>
      <c r="J175" s="444"/>
      <c r="K175" s="17"/>
      <c r="L175" s="6"/>
      <c r="M175" s="6"/>
    </row>
    <row r="176" spans="1:18" ht="15" customHeight="1">
      <c r="A176" s="29"/>
      <c r="B176" s="52"/>
      <c r="C176" s="379" t="s">
        <v>1388</v>
      </c>
      <c r="D176" s="379"/>
      <c r="E176" s="379"/>
      <c r="F176" s="379"/>
      <c r="G176" s="379"/>
      <c r="H176" s="380" t="s">
        <v>1243</v>
      </c>
      <c r="I176" s="395" t="s">
        <v>81</v>
      </c>
      <c r="J176" s="444"/>
      <c r="K176" s="19"/>
      <c r="L176" s="6"/>
      <c r="M176" s="6"/>
    </row>
    <row r="177" spans="1:18" ht="8.1" customHeight="1">
      <c r="A177" s="29"/>
      <c r="B177" s="52"/>
      <c r="C177" s="398"/>
      <c r="D177" s="398"/>
      <c r="E177" s="398"/>
      <c r="F177" s="398"/>
      <c r="G177" s="398"/>
      <c r="H177" s="398"/>
      <c r="I177" s="398"/>
      <c r="J177" s="444"/>
      <c r="K177" s="17"/>
      <c r="L177" s="6"/>
      <c r="M177" s="6"/>
    </row>
    <row r="178" spans="1:18" ht="30" customHeight="1">
      <c r="A178" s="29"/>
      <c r="B178" s="52"/>
      <c r="C178" s="269"/>
      <c r="D178" s="254"/>
      <c r="E178" s="269"/>
      <c r="F178" s="269"/>
      <c r="G178" s="254" t="str">
        <f>_xlfn.CONCAT("Total ILCs for ",C176)</f>
        <v>Total ILCs for b.ii Salvage Materials from Project Site (Max 5%)</v>
      </c>
      <c r="H178" s="930">
        <f>IF(AND(COUNTA($G$183:$H$184,$F$187:$F$188,$F$190:$F$191,$I$187:$I$189,$C$194:$C$197)&gt;12),IF(AND(G183="Yes",G184="Yes",ISNUMBER(I207),ISNUMBER(I261)),I207+I261,IF(AND(G183="Yes",ISNUMBER(I207)),I207,IF(AND(G184="Yes",ISNUMBER(I261)),I261,""))),'Backend (to be hidden)'!CM29)</f>
        <v>0.03</v>
      </c>
      <c r="I178" s="931"/>
      <c r="J178" s="444"/>
      <c r="K178" s="17"/>
      <c r="L178" s="542"/>
      <c r="M178" s="6"/>
    </row>
    <row r="179" spans="1:18" ht="8.1" customHeight="1">
      <c r="A179" s="29"/>
      <c r="B179" s="52"/>
      <c r="C179" s="397"/>
      <c r="D179" s="397"/>
      <c r="E179" s="268"/>
      <c r="F179" s="269"/>
      <c r="G179" s="268"/>
      <c r="H179" s="268"/>
      <c r="I179" s="268"/>
      <c r="J179" s="444"/>
      <c r="K179" s="17"/>
      <c r="L179" s="6"/>
      <c r="M179" s="6"/>
    </row>
    <row r="180" spans="1:18" ht="60" customHeight="1">
      <c r="A180" s="29"/>
      <c r="B180" s="141"/>
      <c r="C180" s="807" t="s">
        <v>1430</v>
      </c>
      <c r="D180" s="807"/>
      <c r="E180" s="807"/>
      <c r="F180" s="807"/>
      <c r="G180" s="807"/>
      <c r="H180" s="807"/>
      <c r="I180" s="807"/>
      <c r="J180" s="444"/>
      <c r="K180" s="17"/>
      <c r="L180" s="6"/>
      <c r="M180" s="6"/>
    </row>
    <row r="181" spans="1:18" s="437" customFormat="1" ht="15" customHeight="1">
      <c r="A181" s="431"/>
      <c r="B181" s="432"/>
      <c r="C181" s="461" t="s">
        <v>1240</v>
      </c>
      <c r="D181" s="438"/>
      <c r="E181" s="438"/>
      <c r="F181" s="438"/>
      <c r="G181" s="438"/>
      <c r="H181" s="438"/>
      <c r="I181" s="438"/>
      <c r="J181" s="436"/>
      <c r="K181" s="538"/>
      <c r="L181" s="539"/>
      <c r="M181" s="539"/>
    </row>
    <row r="182" spans="1:18" ht="30" customHeight="1" outlineLevel="1">
      <c r="A182" s="29"/>
      <c r="B182" s="141"/>
      <c r="C182" s="254"/>
      <c r="D182" s="254"/>
      <c r="E182" s="254"/>
      <c r="F182" s="254"/>
      <c r="G182" s="927" t="s">
        <v>1216</v>
      </c>
      <c r="H182" s="928"/>
      <c r="I182" s="462" t="s">
        <v>1144</v>
      </c>
      <c r="J182" s="203"/>
      <c r="K182" s="17"/>
      <c r="L182" s="6"/>
      <c r="M182" s="6"/>
      <c r="R182" s="28"/>
    </row>
    <row r="183" spans="1:18" ht="15" customHeight="1" outlineLevel="1">
      <c r="A183" s="29"/>
      <c r="B183" s="141"/>
      <c r="C183" s="254"/>
      <c r="D183" s="397"/>
      <c r="E183" s="254"/>
      <c r="F183" s="397" t="s">
        <v>1460</v>
      </c>
      <c r="G183" s="918" t="s">
        <v>81</v>
      </c>
      <c r="H183" s="919"/>
      <c r="I183" s="406">
        <v>0.02</v>
      </c>
      <c r="J183" s="203"/>
      <c r="K183" s="17"/>
      <c r="L183" s="6"/>
      <c r="M183" s="6"/>
      <c r="R183" s="28"/>
    </row>
    <row r="184" spans="1:18" ht="15" customHeight="1" outlineLevel="1">
      <c r="A184" s="29"/>
      <c r="B184" s="141"/>
      <c r="C184" s="254"/>
      <c r="D184" s="397"/>
      <c r="E184" s="254"/>
      <c r="F184" s="397" t="s">
        <v>1461</v>
      </c>
      <c r="G184" s="918" t="s">
        <v>81</v>
      </c>
      <c r="H184" s="919"/>
      <c r="I184" s="406" t="s">
        <v>1132</v>
      </c>
      <c r="J184" s="203"/>
      <c r="K184" s="17"/>
      <c r="L184" s="6"/>
      <c r="M184" s="6"/>
      <c r="R184" s="28"/>
    </row>
    <row r="185" spans="1:18" ht="8.1" customHeight="1" outlineLevel="1">
      <c r="A185" s="29"/>
      <c r="B185" s="141"/>
      <c r="C185" s="254"/>
      <c r="D185" s="397"/>
      <c r="E185" s="254"/>
      <c r="F185" s="398"/>
      <c r="G185" s="397"/>
      <c r="H185" s="397"/>
      <c r="I185" s="397"/>
      <c r="J185" s="203"/>
      <c r="K185" s="17"/>
      <c r="L185" s="6"/>
      <c r="M185" s="6"/>
      <c r="R185" s="28"/>
    </row>
    <row r="186" spans="1:18" ht="15" customHeight="1" outlineLevel="1">
      <c r="A186" s="29"/>
      <c r="B186" s="141"/>
      <c r="C186" s="907" t="s">
        <v>1160</v>
      </c>
      <c r="D186" s="907"/>
      <c r="E186" s="907"/>
      <c r="F186" s="907"/>
      <c r="G186" s="920" t="s">
        <v>1093</v>
      </c>
      <c r="H186" s="920"/>
      <c r="I186" s="920"/>
      <c r="J186" s="203"/>
      <c r="K186" s="17"/>
      <c r="L186" s="6"/>
      <c r="M186" s="6"/>
      <c r="R186" s="28"/>
    </row>
    <row r="187" spans="1:18" ht="30" customHeight="1" outlineLevel="1">
      <c r="A187" s="29"/>
      <c r="B187" s="141"/>
      <c r="C187" s="846" t="s">
        <v>1251</v>
      </c>
      <c r="D187" s="846"/>
      <c r="E187" s="747"/>
      <c r="F187" s="520">
        <v>1920</v>
      </c>
      <c r="G187" s="921" t="s">
        <v>1148</v>
      </c>
      <c r="H187" s="747"/>
      <c r="I187" s="519" t="s">
        <v>1358</v>
      </c>
      <c r="J187" s="203"/>
      <c r="K187" s="17"/>
      <c r="L187" s="6"/>
      <c r="M187" s="6"/>
      <c r="R187" s="28"/>
    </row>
    <row r="188" spans="1:18" ht="15" customHeight="1" outlineLevel="1">
      <c r="A188" s="29"/>
      <c r="B188" s="52"/>
      <c r="C188" s="846" t="s">
        <v>1153</v>
      </c>
      <c r="D188" s="846"/>
      <c r="E188" s="747"/>
      <c r="F188" s="511">
        <v>2300</v>
      </c>
      <c r="G188" s="846" t="s">
        <v>1149</v>
      </c>
      <c r="H188" s="747"/>
      <c r="I188" s="519" t="s">
        <v>1331</v>
      </c>
      <c r="J188" s="203"/>
      <c r="K188" s="17"/>
      <c r="L188" s="6"/>
      <c r="M188" s="6"/>
      <c r="R188" s="28"/>
    </row>
    <row r="189" spans="1:18" ht="15" customHeight="1" outlineLevel="1">
      <c r="A189" s="29"/>
      <c r="B189" s="52"/>
      <c r="C189" s="846" t="s">
        <v>1147</v>
      </c>
      <c r="D189" s="846"/>
      <c r="E189" s="747"/>
      <c r="F189" s="554">
        <f>CONVERT(F188,"ft^2","m^2")</f>
        <v>213.67699200000001</v>
      </c>
      <c r="G189" s="921" t="s">
        <v>1150</v>
      </c>
      <c r="H189" s="747"/>
      <c r="I189" s="519" t="s">
        <v>1359</v>
      </c>
      <c r="J189" s="203"/>
      <c r="K189" s="506"/>
      <c r="L189" s="6"/>
      <c r="M189" s="6"/>
      <c r="R189" s="28"/>
    </row>
    <row r="190" spans="1:18" ht="15" customHeight="1" outlineLevel="1">
      <c r="A190" s="29"/>
      <c r="B190" s="52"/>
      <c r="C190" s="846" t="s">
        <v>1130</v>
      </c>
      <c r="D190" s="846"/>
      <c r="E190" s="747"/>
      <c r="F190" s="511">
        <v>4</v>
      </c>
      <c r="G190" s="921" t="s">
        <v>1466</v>
      </c>
      <c r="H190" s="747"/>
      <c r="I190" s="519" t="s">
        <v>1454</v>
      </c>
      <c r="J190" s="203"/>
      <c r="K190" s="17"/>
      <c r="L190" s="6"/>
      <c r="M190" s="6"/>
      <c r="R190" s="28"/>
    </row>
    <row r="191" spans="1:18" ht="30" customHeight="1" outlineLevel="1">
      <c r="A191" s="29"/>
      <c r="B191" s="52"/>
      <c r="C191" s="846" t="s">
        <v>1151</v>
      </c>
      <c r="D191" s="846"/>
      <c r="E191" s="747"/>
      <c r="F191" s="521">
        <v>45417</v>
      </c>
      <c r="G191" s="397"/>
      <c r="H191" s="397"/>
      <c r="I191" s="397"/>
      <c r="J191" s="203"/>
      <c r="K191" s="17"/>
      <c r="L191" s="6"/>
      <c r="M191" s="6"/>
      <c r="R191" s="28"/>
    </row>
    <row r="192" spans="1:18" ht="8.1" customHeight="1" outlineLevel="1">
      <c r="A192" s="29"/>
      <c r="B192" s="52"/>
      <c r="C192" s="398"/>
      <c r="D192" s="398"/>
      <c r="E192" s="398"/>
      <c r="F192" s="398"/>
      <c r="G192" s="397"/>
      <c r="H192" s="397"/>
      <c r="I192" s="397"/>
      <c r="J192" s="203"/>
      <c r="K192" s="17"/>
      <c r="L192" s="6"/>
      <c r="M192" s="6"/>
      <c r="R192" s="28"/>
    </row>
    <row r="193" spans="1:18" ht="15" customHeight="1" outlineLevel="1">
      <c r="A193" s="29"/>
      <c r="B193" s="52"/>
      <c r="C193" s="378" t="s">
        <v>1142</v>
      </c>
      <c r="D193" s="378"/>
      <c r="E193" s="378"/>
      <c r="F193" s="377"/>
      <c r="G193" s="377"/>
      <c r="H193" s="377"/>
      <c r="I193" s="377"/>
      <c r="J193" s="203"/>
      <c r="K193" s="17"/>
      <c r="L193" s="6"/>
      <c r="M193" s="6"/>
      <c r="R193" s="28"/>
    </row>
    <row r="194" spans="1:18" ht="15" customHeight="1" outlineLevel="1">
      <c r="A194" s="29"/>
      <c r="B194" s="52"/>
      <c r="C194" s="504" t="s">
        <v>1048</v>
      </c>
      <c r="D194" s="901" t="s">
        <v>1156</v>
      </c>
      <c r="E194" s="801"/>
      <c r="F194" s="801"/>
      <c r="G194" s="801"/>
      <c r="H194" s="801"/>
      <c r="I194" s="801"/>
      <c r="J194" s="203"/>
      <c r="K194" s="17"/>
      <c r="L194" s="6"/>
      <c r="M194" s="6"/>
      <c r="R194" s="28"/>
    </row>
    <row r="195" spans="1:18" ht="15" customHeight="1" outlineLevel="1">
      <c r="A195" s="29"/>
      <c r="B195" s="52"/>
      <c r="C195" s="504" t="s">
        <v>1048</v>
      </c>
      <c r="D195" s="901" t="s">
        <v>1246</v>
      </c>
      <c r="E195" s="801"/>
      <c r="F195" s="801"/>
      <c r="G195" s="801"/>
      <c r="H195" s="801"/>
      <c r="I195" s="801"/>
      <c r="J195" s="203"/>
      <c r="K195" s="17"/>
      <c r="L195" s="6"/>
      <c r="M195" s="6"/>
      <c r="R195" s="28"/>
    </row>
    <row r="196" spans="1:18" ht="30" customHeight="1" outlineLevel="1">
      <c r="A196" s="29"/>
      <c r="B196" s="52"/>
      <c r="C196" s="504" t="s">
        <v>1048</v>
      </c>
      <c r="D196" s="901" t="s">
        <v>1548</v>
      </c>
      <c r="E196" s="801"/>
      <c r="F196" s="801"/>
      <c r="G196" s="801"/>
      <c r="H196" s="801"/>
      <c r="I196" s="801"/>
      <c r="J196" s="203"/>
      <c r="K196" s="17"/>
      <c r="L196" s="6"/>
      <c r="M196" s="6"/>
      <c r="R196" s="28"/>
    </row>
    <row r="197" spans="1:18" ht="30" customHeight="1" outlineLevel="1">
      <c r="A197" s="29"/>
      <c r="B197" s="52"/>
      <c r="C197" s="504" t="s">
        <v>1048</v>
      </c>
      <c r="D197" s="901" t="s">
        <v>1462</v>
      </c>
      <c r="E197" s="801"/>
      <c r="F197" s="801"/>
      <c r="G197" s="801"/>
      <c r="H197" s="801"/>
      <c r="I197" s="801"/>
      <c r="J197" s="203"/>
      <c r="K197" s="17"/>
      <c r="L197" s="6"/>
      <c r="M197" s="6"/>
      <c r="R197" s="28"/>
    </row>
    <row r="198" spans="1:18" ht="8.1" customHeight="1" outlineLevel="1">
      <c r="A198" s="29"/>
      <c r="B198" s="52"/>
      <c r="C198" s="35"/>
      <c r="D198" s="35"/>
      <c r="E198" s="35"/>
      <c r="F198" s="269"/>
      <c r="G198" s="268"/>
      <c r="H198" s="35"/>
      <c r="I198" s="35"/>
      <c r="J198" s="203"/>
      <c r="K198" s="17"/>
      <c r="L198" s="6"/>
      <c r="M198" s="6"/>
      <c r="R198" s="28"/>
    </row>
    <row r="199" spans="1:18" ht="15" customHeight="1" outlineLevel="1">
      <c r="A199" s="29"/>
      <c r="B199" s="52"/>
      <c r="C199" s="819" t="s">
        <v>1455</v>
      </c>
      <c r="D199" s="819"/>
      <c r="E199" s="819"/>
      <c r="F199" s="819"/>
      <c r="G199" s="819"/>
      <c r="H199" s="819"/>
      <c r="I199" s="819"/>
      <c r="J199" s="203"/>
      <c r="K199" s="17"/>
      <c r="L199" s="6"/>
      <c r="M199" s="6"/>
      <c r="R199" s="28"/>
    </row>
    <row r="200" spans="1:18" ht="15" customHeight="1" outlineLevel="1">
      <c r="A200" s="29"/>
      <c r="B200" s="52"/>
      <c r="C200" s="588" t="s">
        <v>1432</v>
      </c>
      <c r="D200" s="588"/>
      <c r="E200" s="588"/>
      <c r="F200" s="588"/>
      <c r="G200" s="588"/>
      <c r="H200" s="588"/>
      <c r="I200" s="588"/>
      <c r="J200" s="203"/>
      <c r="K200" s="17"/>
      <c r="L200" s="6"/>
      <c r="M200" s="6"/>
      <c r="R200" s="28"/>
    </row>
    <row r="201" spans="1:18" ht="69.95" customHeight="1" outlineLevel="1">
      <c r="A201" s="29"/>
      <c r="B201" s="52"/>
      <c r="C201" s="922" t="s">
        <v>1361</v>
      </c>
      <c r="D201" s="923"/>
      <c r="E201" s="923"/>
      <c r="F201" s="923"/>
      <c r="G201" s="923"/>
      <c r="H201" s="923"/>
      <c r="I201" s="924"/>
      <c r="J201" s="203"/>
      <c r="K201" s="17"/>
      <c r="L201" s="6"/>
      <c r="M201" s="6"/>
      <c r="R201" s="28"/>
    </row>
    <row r="202" spans="1:18" ht="8.1" customHeight="1" outlineLevel="1">
      <c r="A202" s="29"/>
      <c r="B202" s="52"/>
      <c r="C202" s="254"/>
      <c r="D202" s="354"/>
      <c r="E202" s="354"/>
      <c r="F202" s="352"/>
      <c r="G202" s="352"/>
      <c r="H202" s="360"/>
      <c r="I202" s="360"/>
      <c r="J202" s="203"/>
      <c r="K202" s="17"/>
      <c r="L202" s="6"/>
      <c r="M202" s="6"/>
      <c r="R202" s="28"/>
    </row>
    <row r="203" spans="1:18" ht="15" customHeight="1" outlineLevel="1">
      <c r="A203" s="29"/>
      <c r="B203" s="52"/>
      <c r="C203" s="376" t="s">
        <v>1460</v>
      </c>
      <c r="D203" s="376"/>
      <c r="E203" s="376"/>
      <c r="F203" s="376"/>
      <c r="G203" s="376"/>
      <c r="H203" s="376"/>
      <c r="I203" s="376"/>
      <c r="J203" s="203"/>
      <c r="K203" s="17"/>
      <c r="L203" s="6"/>
      <c r="M203" s="6"/>
      <c r="R203" s="28"/>
    </row>
    <row r="204" spans="1:18" ht="110.25" customHeight="1" outlineLevel="1">
      <c r="A204" s="29"/>
      <c r="B204" s="52"/>
      <c r="C204" s="821" t="s">
        <v>1551</v>
      </c>
      <c r="D204" s="821"/>
      <c r="E204" s="821"/>
      <c r="F204" s="821"/>
      <c r="G204" s="821"/>
      <c r="H204" s="821"/>
      <c r="I204" s="821"/>
      <c r="J204" s="203"/>
      <c r="K204" s="17"/>
      <c r="L204" s="6"/>
      <c r="M204" s="6"/>
      <c r="R204" s="28"/>
    </row>
    <row r="205" spans="1:18" s="471" customFormat="1" outlineLevel="1">
      <c r="A205" s="467"/>
      <c r="B205" s="468"/>
      <c r="C205" s="461" t="s">
        <v>1267</v>
      </c>
      <c r="D205" s="469"/>
      <c r="E205" s="469"/>
      <c r="F205" s="469"/>
      <c r="G205" s="469"/>
      <c r="H205" s="469"/>
      <c r="I205" s="469"/>
      <c r="J205" s="470"/>
      <c r="K205" s="543"/>
      <c r="L205" s="544"/>
      <c r="M205" s="544"/>
    </row>
    <row r="206" spans="1:18" ht="30.95" customHeight="1" outlineLevel="2">
      <c r="A206" s="29"/>
      <c r="B206" s="52"/>
      <c r="C206" s="424"/>
      <c r="D206" s="424"/>
      <c r="E206" s="424"/>
      <c r="F206" s="424"/>
      <c r="G206" s="424"/>
      <c r="H206" s="463" t="s">
        <v>1263</v>
      </c>
      <c r="I206" s="522" t="s">
        <v>1536</v>
      </c>
      <c r="J206" s="203"/>
      <c r="K206" s="17"/>
      <c r="L206" s="6"/>
      <c r="M206" s="6"/>
      <c r="R206" s="28"/>
    </row>
    <row r="207" spans="1:18" ht="15.75" outlineLevel="2">
      <c r="A207" s="29"/>
      <c r="B207" s="52"/>
      <c r="C207" s="424"/>
      <c r="D207" s="424"/>
      <c r="E207" s="424"/>
      <c r="F207" s="424"/>
      <c r="G207" s="424"/>
      <c r="H207" s="374" t="s">
        <v>1155</v>
      </c>
      <c r="I207" s="413">
        <f>IF(OR(AND(G183="Yes",I245="Yes"),AND(G183="Yes",I231="Yes"),AND(G183="Yes",I221="Yes")),0.02,"")</f>
        <v>0.02</v>
      </c>
      <c r="J207" s="203"/>
      <c r="K207" s="17"/>
      <c r="L207" s="6"/>
      <c r="M207" s="6"/>
      <c r="R207" s="28"/>
    </row>
    <row r="208" spans="1:18" ht="8.1" customHeight="1" outlineLevel="2">
      <c r="A208" s="29"/>
      <c r="B208" s="52"/>
      <c r="C208" s="583"/>
      <c r="D208" s="583"/>
      <c r="E208" s="583"/>
      <c r="F208" s="583"/>
      <c r="G208" s="583"/>
      <c r="H208" s="374"/>
      <c r="I208" s="464"/>
      <c r="J208" s="203"/>
      <c r="K208" s="17"/>
      <c r="L208" s="6"/>
      <c r="M208" s="6"/>
      <c r="R208" s="28"/>
    </row>
    <row r="209" spans="1:18" ht="15" customHeight="1" outlineLevel="2">
      <c r="A209" s="29"/>
      <c r="B209" s="52"/>
      <c r="C209" s="466" t="s">
        <v>1545</v>
      </c>
      <c r="D209" s="268"/>
      <c r="E209" s="268"/>
      <c r="F209" s="412"/>
      <c r="G209" s="412"/>
      <c r="H209" s="358"/>
      <c r="I209" s="358"/>
      <c r="J209" s="203"/>
      <c r="K209" s="17"/>
      <c r="L209" s="6"/>
      <c r="M209" s="6"/>
      <c r="R209" s="28"/>
    </row>
    <row r="210" spans="1:18" ht="55.5" customHeight="1" outlineLevel="2">
      <c r="A210" s="29"/>
      <c r="B210" s="52"/>
      <c r="C210" s="640" t="s">
        <v>1252</v>
      </c>
      <c r="D210" s="890" t="s">
        <v>1253</v>
      </c>
      <c r="E210" s="889"/>
      <c r="F210" s="894"/>
      <c r="G210" s="640" t="s">
        <v>1258</v>
      </c>
      <c r="H210" s="640" t="s">
        <v>1254</v>
      </c>
      <c r="I210" s="640" t="s">
        <v>1255</v>
      </c>
      <c r="J210" s="647" t="b">
        <f>NOT('Backend (to be hidden)'!DG2=1)</f>
        <v>1</v>
      </c>
      <c r="K210" s="17"/>
      <c r="L210" s="6"/>
      <c r="M210" s="6"/>
      <c r="R210" s="28"/>
    </row>
    <row r="211" spans="1:18" ht="15" customHeight="1" outlineLevel="2">
      <c r="A211" s="29"/>
      <c r="B211" s="52"/>
      <c r="C211" s="648" t="s">
        <v>1256</v>
      </c>
      <c r="D211" s="895" t="s">
        <v>1257</v>
      </c>
      <c r="E211" s="896"/>
      <c r="F211" s="897"/>
      <c r="G211" s="648" t="s">
        <v>1259</v>
      </c>
      <c r="H211" s="648" t="s">
        <v>1260</v>
      </c>
      <c r="I211" s="648" t="s">
        <v>1261</v>
      </c>
      <c r="J211" s="203"/>
      <c r="K211" s="17"/>
      <c r="L211" s="6"/>
      <c r="M211" s="6"/>
      <c r="R211" s="28"/>
    </row>
    <row r="212" spans="1:18" ht="15" customHeight="1" outlineLevel="2">
      <c r="A212" s="29"/>
      <c r="B212" s="52"/>
      <c r="C212" s="649">
        <v>1</v>
      </c>
      <c r="D212" s="898" t="s">
        <v>1362</v>
      </c>
      <c r="E212" s="899"/>
      <c r="F212" s="900"/>
      <c r="G212" s="650">
        <v>45843</v>
      </c>
      <c r="H212" s="651" t="s">
        <v>1363</v>
      </c>
      <c r="I212" s="516">
        <v>10000</v>
      </c>
      <c r="J212" s="203"/>
      <c r="K212" s="17"/>
      <c r="L212" s="6"/>
      <c r="M212" s="6"/>
      <c r="R212" s="28"/>
    </row>
    <row r="213" spans="1:18" ht="15" customHeight="1" outlineLevel="2">
      <c r="A213" s="29"/>
      <c r="B213" s="52"/>
      <c r="C213" s="649"/>
      <c r="D213" s="898"/>
      <c r="E213" s="899"/>
      <c r="F213" s="900"/>
      <c r="G213" s="650"/>
      <c r="H213" s="651"/>
      <c r="I213" s="516"/>
      <c r="J213" s="203"/>
      <c r="K213" s="17"/>
      <c r="L213" s="6"/>
      <c r="M213" s="6"/>
      <c r="R213" s="28"/>
    </row>
    <row r="214" spans="1:18" ht="15" customHeight="1" outlineLevel="2">
      <c r="A214" s="29"/>
      <c r="B214" s="52"/>
      <c r="C214" s="649"/>
      <c r="D214" s="898"/>
      <c r="E214" s="899"/>
      <c r="F214" s="900"/>
      <c r="G214" s="650"/>
      <c r="H214" s="651"/>
      <c r="I214" s="516"/>
      <c r="J214" s="203"/>
      <c r="K214" s="17"/>
      <c r="L214" s="6"/>
      <c r="M214" s="6"/>
      <c r="R214" s="28"/>
    </row>
    <row r="215" spans="1:18" ht="15" customHeight="1" outlineLevel="2">
      <c r="A215" s="29"/>
      <c r="B215" s="52"/>
      <c r="C215" s="649"/>
      <c r="D215" s="898"/>
      <c r="E215" s="899"/>
      <c r="F215" s="900"/>
      <c r="G215" s="650"/>
      <c r="H215" s="651"/>
      <c r="I215" s="516"/>
      <c r="J215" s="203"/>
      <c r="K215" s="17"/>
      <c r="L215" s="6"/>
      <c r="M215" s="6"/>
      <c r="R215" s="28"/>
    </row>
    <row r="216" spans="1:18" ht="15" customHeight="1" outlineLevel="2">
      <c r="A216" s="29"/>
      <c r="B216" s="52"/>
      <c r="C216" s="646" t="s">
        <v>1456</v>
      </c>
      <c r="D216" s="268"/>
      <c r="E216" s="268"/>
      <c r="F216" s="268"/>
      <c r="G216" s="268"/>
      <c r="H216" s="374" t="s">
        <v>1025</v>
      </c>
      <c r="I216" s="411">
        <f>IF(SUM(I212:I215)&gt;0,SUM(I212:I215),"")</f>
        <v>10000</v>
      </c>
      <c r="J216" s="203"/>
      <c r="K216" s="17"/>
      <c r="L216" s="6"/>
      <c r="M216" s="6"/>
      <c r="R216" s="28"/>
    </row>
    <row r="217" spans="1:18" ht="15" customHeight="1" outlineLevel="2">
      <c r="A217" s="29"/>
      <c r="B217" s="52"/>
      <c r="C217" s="268"/>
      <c r="D217" s="268"/>
      <c r="E217" s="268"/>
      <c r="F217" s="268"/>
      <c r="G217" s="268"/>
      <c r="H217" s="268"/>
      <c r="I217" s="268"/>
      <c r="J217" s="203"/>
      <c r="K217" s="17"/>
      <c r="L217" s="6"/>
      <c r="M217" s="6"/>
      <c r="R217" s="28"/>
    </row>
    <row r="218" spans="1:18" ht="15" customHeight="1" outlineLevel="2">
      <c r="A218" s="29"/>
      <c r="B218" s="52"/>
      <c r="C218" s="268"/>
      <c r="D218" s="268"/>
      <c r="E218" s="268"/>
      <c r="F218" s="268"/>
      <c r="G218" s="268"/>
      <c r="H218" s="907" t="s">
        <v>1157</v>
      </c>
      <c r="I218" s="907"/>
      <c r="J218" s="203"/>
      <c r="K218" s="17"/>
      <c r="L218" s="6"/>
      <c r="M218" s="6"/>
      <c r="R218" s="28"/>
    </row>
    <row r="219" spans="1:18" ht="15" customHeight="1" outlineLevel="2">
      <c r="A219" s="29"/>
      <c r="B219" s="52"/>
      <c r="C219" s="268"/>
      <c r="D219" s="268"/>
      <c r="E219" s="268"/>
      <c r="F219" s="268"/>
      <c r="G219" s="268"/>
      <c r="H219" s="364" t="s">
        <v>1265</v>
      </c>
      <c r="I219" s="737">
        <f>IFERROR(I216/F188,"")</f>
        <v>4.3478260869565215</v>
      </c>
      <c r="J219" s="203"/>
      <c r="K219" s="17"/>
      <c r="L219" s="6"/>
      <c r="M219" s="6"/>
      <c r="R219" s="28"/>
    </row>
    <row r="220" spans="1:18" ht="15" customHeight="1" outlineLevel="2">
      <c r="A220" s="29"/>
      <c r="B220" s="52"/>
      <c r="C220" s="268"/>
      <c r="D220" s="268"/>
      <c r="E220" s="268"/>
      <c r="F220" s="268"/>
      <c r="G220" s="268"/>
      <c r="H220" s="364" t="s">
        <v>1266</v>
      </c>
      <c r="I220" s="590">
        <v>3.5</v>
      </c>
      <c r="J220" s="203"/>
      <c r="K220" s="17"/>
      <c r="L220" s="6"/>
      <c r="M220" s="6"/>
      <c r="R220" s="28"/>
    </row>
    <row r="221" spans="1:18" ht="15" customHeight="1" outlineLevel="2">
      <c r="A221" s="29"/>
      <c r="B221" s="52"/>
      <c r="C221" s="268"/>
      <c r="D221" s="268"/>
      <c r="E221" s="268"/>
      <c r="F221" s="268"/>
      <c r="G221" s="268"/>
      <c r="H221" s="358" t="s">
        <v>1158</v>
      </c>
      <c r="I221" s="369" t="str">
        <f>IF(ISNUMBER(I219),IF(I219&gt;I220,"Yes","No"),"Enter data")</f>
        <v>Yes</v>
      </c>
      <c r="J221" s="203"/>
      <c r="K221" s="17"/>
      <c r="L221" s="6"/>
      <c r="M221" s="6"/>
      <c r="R221" s="28"/>
    </row>
    <row r="222" spans="1:18" ht="8.1" customHeight="1" outlineLevel="2">
      <c r="A222" s="29"/>
      <c r="B222" s="52"/>
      <c r="C222" s="268"/>
      <c r="D222" s="268"/>
      <c r="E222" s="268"/>
      <c r="F222" s="268"/>
      <c r="G222" s="412"/>
      <c r="H222" s="358"/>
      <c r="I222" s="358"/>
      <c r="J222" s="203"/>
      <c r="K222" s="17"/>
      <c r="L222" s="6"/>
      <c r="M222" s="6"/>
      <c r="R222" s="28"/>
    </row>
    <row r="223" spans="1:18" ht="15" customHeight="1" outlineLevel="2">
      <c r="A223" s="29"/>
      <c r="B223" s="52"/>
      <c r="C223" s="466" t="s">
        <v>1546</v>
      </c>
      <c r="D223" s="268"/>
      <c r="E223" s="268"/>
      <c r="F223" s="412"/>
      <c r="G223" s="412"/>
      <c r="H223" s="374"/>
      <c r="I223" s="464"/>
      <c r="J223" s="203"/>
      <c r="K223" s="17"/>
      <c r="L223" s="6"/>
      <c r="M223" s="6"/>
      <c r="R223" s="28"/>
    </row>
    <row r="224" spans="1:18" ht="30" customHeight="1" outlineLevel="2">
      <c r="A224" s="29"/>
      <c r="B224" s="52"/>
      <c r="C224" s="911" t="s">
        <v>1541</v>
      </c>
      <c r="D224" s="911"/>
      <c r="E224" s="911"/>
      <c r="F224" s="911"/>
      <c r="G224" s="911"/>
      <c r="H224" s="911"/>
      <c r="I224" s="911"/>
      <c r="J224" s="203"/>
      <c r="K224" s="17"/>
      <c r="L224" s="6"/>
      <c r="M224" s="6"/>
      <c r="R224" s="28"/>
    </row>
    <row r="225" spans="1:18" ht="30" customHeight="1" outlineLevel="2">
      <c r="A225" s="29"/>
      <c r="B225" s="52"/>
      <c r="C225" s="912" t="s">
        <v>1544</v>
      </c>
      <c r="D225" s="912"/>
      <c r="E225" s="912"/>
      <c r="F225" s="912"/>
      <c r="G225" s="912"/>
      <c r="H225" s="915" t="s">
        <v>1542</v>
      </c>
      <c r="I225" s="915"/>
      <c r="J225" s="203"/>
      <c r="K225" s="17"/>
      <c r="L225" s="6"/>
      <c r="M225" s="6"/>
      <c r="R225" s="28"/>
    </row>
    <row r="226" spans="1:18" ht="15.75" customHeight="1" outlineLevel="2">
      <c r="A226" s="29"/>
      <c r="B226" s="52"/>
      <c r="C226" s="761" t="s">
        <v>1364</v>
      </c>
      <c r="D226" s="762"/>
      <c r="E226" s="762"/>
      <c r="F226" s="762"/>
      <c r="G226" s="763"/>
      <c r="H226" s="916">
        <v>7500</v>
      </c>
      <c r="I226" s="917"/>
      <c r="J226" s="203"/>
      <c r="K226" s="17"/>
      <c r="L226" s="6"/>
      <c r="M226" s="6"/>
      <c r="R226" s="28"/>
    </row>
    <row r="227" spans="1:18" ht="8.1" customHeight="1" outlineLevel="2">
      <c r="A227" s="29"/>
      <c r="B227" s="52"/>
      <c r="C227" s="624"/>
      <c r="D227" s="624"/>
      <c r="E227" s="268"/>
      <c r="F227" s="268"/>
      <c r="G227" s="268"/>
      <c r="H227" s="268"/>
      <c r="I227" s="268"/>
      <c r="J227" s="203"/>
      <c r="K227" s="17"/>
      <c r="L227" s="6"/>
      <c r="M227" s="6"/>
      <c r="R227" s="28"/>
    </row>
    <row r="228" spans="1:18" ht="15" customHeight="1" outlineLevel="2">
      <c r="A228" s="29"/>
      <c r="B228" s="52"/>
      <c r="C228" s="268"/>
      <c r="D228" s="268"/>
      <c r="E228" s="268"/>
      <c r="F228" s="412"/>
      <c r="G228" s="374"/>
      <c r="H228" s="907" t="s">
        <v>1157</v>
      </c>
      <c r="I228" s="907"/>
      <c r="J228" s="203"/>
      <c r="K228" s="17"/>
      <c r="L228" s="6"/>
      <c r="M228" s="6"/>
      <c r="R228" s="28"/>
    </row>
    <row r="229" spans="1:18" ht="15" customHeight="1" outlineLevel="2">
      <c r="A229" s="29"/>
      <c r="B229" s="52"/>
      <c r="C229" s="268"/>
      <c r="D229" s="268"/>
      <c r="E229" s="268"/>
      <c r="F229" s="412"/>
      <c r="G229" s="412"/>
      <c r="H229" s="364" t="s">
        <v>1539</v>
      </c>
      <c r="I229" s="411">
        <f>IF(H226=0,"",H226/$F$188)</f>
        <v>3.2608695652173911</v>
      </c>
      <c r="J229" s="203"/>
      <c r="K229" s="17"/>
      <c r="L229" s="6"/>
      <c r="M229" s="6"/>
      <c r="R229" s="28"/>
    </row>
    <row r="230" spans="1:18" ht="15" customHeight="1" outlineLevel="2">
      <c r="A230" s="29"/>
      <c r="B230" s="52"/>
      <c r="C230" s="268"/>
      <c r="D230" s="268"/>
      <c r="E230" s="268"/>
      <c r="F230" s="412"/>
      <c r="G230" s="412"/>
      <c r="H230" s="364" t="s">
        <v>1540</v>
      </c>
      <c r="I230" s="590">
        <v>2.6</v>
      </c>
      <c r="J230" s="203"/>
      <c r="K230" s="17"/>
      <c r="L230" s="6"/>
      <c r="M230" s="6"/>
      <c r="R230" s="28"/>
    </row>
    <row r="231" spans="1:18" ht="15" customHeight="1" outlineLevel="2">
      <c r="A231" s="29"/>
      <c r="B231" s="52"/>
      <c r="C231" s="268"/>
      <c r="D231" s="268"/>
      <c r="E231" s="268"/>
      <c r="F231" s="412"/>
      <c r="G231" s="412"/>
      <c r="H231" s="358" t="s">
        <v>1158</v>
      </c>
      <c r="I231" s="369" t="str">
        <f>IF(ISNUMBER(I229),IF(I229&gt;I230,"Yes","No"),"Enter data")</f>
        <v>Yes</v>
      </c>
      <c r="J231" s="203"/>
      <c r="K231" s="17"/>
      <c r="L231" s="6"/>
      <c r="M231" s="6"/>
      <c r="R231" s="28"/>
    </row>
    <row r="232" spans="1:18" ht="8.1" customHeight="1" outlineLevel="2">
      <c r="A232" s="29"/>
      <c r="B232" s="52"/>
      <c r="C232" s="466"/>
      <c r="D232" s="268"/>
      <c r="E232" s="268"/>
      <c r="F232" s="412"/>
      <c r="G232" s="412"/>
      <c r="H232" s="374"/>
      <c r="I232" s="464"/>
      <c r="J232" s="203"/>
      <c r="K232" s="17"/>
      <c r="L232" s="6"/>
      <c r="M232" s="6"/>
      <c r="R232" s="28"/>
    </row>
    <row r="233" spans="1:18" ht="15" customHeight="1" outlineLevel="2">
      <c r="A233" s="29"/>
      <c r="B233" s="52"/>
      <c r="C233" s="466" t="s">
        <v>1547</v>
      </c>
      <c r="D233" s="268"/>
      <c r="E233" s="268"/>
      <c r="F233" s="412"/>
      <c r="G233" s="412"/>
      <c r="H233" s="374"/>
      <c r="I233" s="464"/>
      <c r="J233" s="203"/>
      <c r="K233" s="17"/>
      <c r="L233" s="6"/>
      <c r="M233" s="6"/>
      <c r="R233" s="28"/>
    </row>
    <row r="234" spans="1:18" ht="30" customHeight="1" outlineLevel="2">
      <c r="A234" s="29"/>
      <c r="B234" s="52"/>
      <c r="C234" s="911" t="s">
        <v>1550</v>
      </c>
      <c r="D234" s="911"/>
      <c r="E234" s="911"/>
      <c r="F234" s="911"/>
      <c r="G234" s="911"/>
      <c r="H234" s="911"/>
      <c r="I234" s="911"/>
      <c r="J234" s="203"/>
      <c r="K234" s="17"/>
      <c r="L234" s="6"/>
      <c r="M234" s="6"/>
      <c r="R234" s="28"/>
    </row>
    <row r="235" spans="1:18" ht="16.5" customHeight="1" outlineLevel="2">
      <c r="A235" s="29"/>
      <c r="B235" s="52"/>
      <c r="C235" s="912" t="s">
        <v>1347</v>
      </c>
      <c r="D235" s="912"/>
      <c r="E235" s="907" t="s">
        <v>1601</v>
      </c>
      <c r="F235" s="907"/>
      <c r="G235" s="889" t="s">
        <v>1600</v>
      </c>
      <c r="H235" s="889"/>
      <c r="I235" s="645"/>
      <c r="J235" s="203"/>
      <c r="K235" s="17"/>
      <c r="L235" s="6"/>
      <c r="M235" s="6"/>
      <c r="R235" s="28"/>
    </row>
    <row r="236" spans="1:18" ht="15.75" customHeight="1" outlineLevel="2">
      <c r="A236" s="29"/>
      <c r="B236" s="52"/>
      <c r="C236" s="913" t="s">
        <v>1349</v>
      </c>
      <c r="D236" s="914"/>
      <c r="E236" s="954" t="s">
        <v>1602</v>
      </c>
      <c r="F236" s="955"/>
      <c r="G236" s="954">
        <v>1.35</v>
      </c>
      <c r="H236" s="955"/>
      <c r="I236" s="645"/>
      <c r="J236" s="203"/>
      <c r="K236" s="19"/>
      <c r="L236" s="6"/>
      <c r="M236" s="6"/>
      <c r="R236" s="28"/>
    </row>
    <row r="237" spans="1:18" ht="15.75" customHeight="1" outlineLevel="2">
      <c r="A237" s="29"/>
      <c r="B237" s="52"/>
      <c r="C237" s="913" t="s">
        <v>1348</v>
      </c>
      <c r="D237" s="914"/>
      <c r="E237" s="954" t="s">
        <v>1603</v>
      </c>
      <c r="F237" s="955"/>
      <c r="G237" s="954">
        <v>13.129</v>
      </c>
      <c r="H237" s="955"/>
      <c r="I237" s="645"/>
      <c r="J237" s="203"/>
      <c r="K237" s="17"/>
      <c r="L237" s="6"/>
      <c r="M237" s="6"/>
      <c r="R237" s="28"/>
    </row>
    <row r="238" spans="1:18" ht="8.1" customHeight="1" outlineLevel="2">
      <c r="A238" s="29"/>
      <c r="B238" s="52"/>
      <c r="C238" s="645"/>
      <c r="D238" s="645"/>
      <c r="E238" s="645"/>
      <c r="F238" s="645"/>
      <c r="G238" s="645"/>
      <c r="H238" s="645"/>
      <c r="I238" s="645"/>
      <c r="J238" s="203"/>
      <c r="K238" s="17"/>
      <c r="L238" s="6"/>
      <c r="M238" s="6"/>
      <c r="R238" s="28"/>
    </row>
    <row r="239" spans="1:18" ht="28.5" customHeight="1" outlineLevel="2">
      <c r="A239" s="29"/>
      <c r="B239" s="52"/>
      <c r="C239" s="912" t="s">
        <v>1604</v>
      </c>
      <c r="D239" s="912"/>
      <c r="E239" s="912"/>
      <c r="F239" s="912"/>
      <c r="G239" s="912"/>
      <c r="H239" s="915" t="s">
        <v>1543</v>
      </c>
      <c r="I239" s="915"/>
      <c r="J239" s="203"/>
      <c r="K239" s="17"/>
      <c r="L239" s="6"/>
      <c r="M239" s="6"/>
      <c r="R239" s="28"/>
    </row>
    <row r="240" spans="1:18" ht="15.75" outlineLevel="2">
      <c r="A240" s="29"/>
      <c r="B240" s="52"/>
      <c r="C240" s="761" t="s">
        <v>1364</v>
      </c>
      <c r="D240" s="762"/>
      <c r="E240" s="762"/>
      <c r="F240" s="762"/>
      <c r="G240" s="763"/>
      <c r="H240" s="916">
        <v>8500</v>
      </c>
      <c r="I240" s="917"/>
      <c r="J240" s="203"/>
      <c r="K240" s="17"/>
      <c r="L240" s="6"/>
      <c r="M240" s="6"/>
      <c r="R240" s="28"/>
    </row>
    <row r="241" spans="1:18" ht="8.1" customHeight="1" outlineLevel="2">
      <c r="A241" s="29"/>
      <c r="B241" s="52"/>
      <c r="C241" s="624"/>
      <c r="D241" s="624"/>
      <c r="E241" s="268"/>
      <c r="F241" s="268"/>
      <c r="G241" s="268"/>
      <c r="H241" s="268"/>
      <c r="I241" s="268"/>
      <c r="J241" s="203"/>
      <c r="K241" s="17"/>
      <c r="L241" s="6"/>
      <c r="M241" s="6"/>
      <c r="R241" s="28"/>
    </row>
    <row r="242" spans="1:18" ht="15" customHeight="1" outlineLevel="2">
      <c r="A242" s="29"/>
      <c r="B242" s="52"/>
      <c r="C242" s="268"/>
      <c r="D242" s="268"/>
      <c r="E242" s="268"/>
      <c r="F242" s="412"/>
      <c r="G242" s="374"/>
      <c r="H242" s="907" t="s">
        <v>1157</v>
      </c>
      <c r="I242" s="907"/>
      <c r="J242" s="203"/>
      <c r="K242" s="17"/>
      <c r="L242" s="6"/>
      <c r="M242" s="6"/>
      <c r="R242" s="28"/>
    </row>
    <row r="243" spans="1:18" ht="15" customHeight="1" outlineLevel="2">
      <c r="A243" s="29"/>
      <c r="B243" s="52"/>
      <c r="C243" s="268"/>
      <c r="D243" s="268"/>
      <c r="E243" s="268"/>
      <c r="F243" s="412"/>
      <c r="G243" s="412"/>
      <c r="H243" s="364" t="s">
        <v>1265</v>
      </c>
      <c r="I243" s="411">
        <f>IF(H240=0,"",H240/$F$188)</f>
        <v>3.6956521739130435</v>
      </c>
      <c r="J243" s="203"/>
      <c r="K243" s="17"/>
      <c r="L243" s="6"/>
      <c r="M243" s="6"/>
      <c r="R243" s="28"/>
    </row>
    <row r="244" spans="1:18" ht="15" customHeight="1" outlineLevel="2">
      <c r="A244" s="29"/>
      <c r="B244" s="52"/>
      <c r="C244" s="268"/>
      <c r="D244" s="268"/>
      <c r="E244" s="268"/>
      <c r="F244" s="412"/>
      <c r="G244" s="412"/>
      <c r="H244" s="364" t="s">
        <v>1266</v>
      </c>
      <c r="I244" s="590">
        <v>3.5</v>
      </c>
      <c r="J244" s="203"/>
      <c r="K244" s="17"/>
      <c r="L244" s="6"/>
      <c r="M244" s="6"/>
      <c r="R244" s="28"/>
    </row>
    <row r="245" spans="1:18" ht="15" customHeight="1" outlineLevel="2">
      <c r="A245" s="29"/>
      <c r="B245" s="52"/>
      <c r="C245" s="268"/>
      <c r="D245" s="268"/>
      <c r="E245" s="268"/>
      <c r="F245" s="412"/>
      <c r="G245" s="412"/>
      <c r="H245" s="358" t="s">
        <v>1158</v>
      </c>
      <c r="I245" s="369" t="str">
        <f>IF(ISNUMBER(I243),IF(I243&gt;I244,"Yes","No"),"Enter data")</f>
        <v>Yes</v>
      </c>
      <c r="J245" s="203"/>
      <c r="K245" s="17"/>
      <c r="L245" s="6"/>
      <c r="M245" s="6"/>
      <c r="R245" s="28"/>
    </row>
    <row r="246" spans="1:18" ht="15" customHeight="1" outlineLevel="2">
      <c r="A246" s="29"/>
      <c r="B246" s="52"/>
      <c r="C246" s="268"/>
      <c r="D246" s="268"/>
      <c r="E246" s="268"/>
      <c r="F246" s="412"/>
      <c r="G246" s="412"/>
      <c r="H246" s="464"/>
      <c r="I246" s="464"/>
      <c r="J246" s="203"/>
      <c r="K246" s="17"/>
      <c r="L246" s="6"/>
      <c r="M246" s="6"/>
      <c r="R246" s="28"/>
    </row>
    <row r="247" spans="1:18" ht="15" customHeight="1" outlineLevel="1">
      <c r="A247" s="29"/>
      <c r="B247" s="52"/>
      <c r="C247" s="376" t="s">
        <v>1461</v>
      </c>
      <c r="D247" s="376"/>
      <c r="E247" s="376"/>
      <c r="F247" s="376"/>
      <c r="G247" s="376"/>
      <c r="H247" s="376"/>
      <c r="I247" s="376"/>
      <c r="J247" s="203"/>
      <c r="K247" s="17"/>
      <c r="L247" s="6"/>
      <c r="M247" s="6"/>
      <c r="R247" s="28"/>
    </row>
    <row r="248" spans="1:18" ht="52.5" customHeight="1" outlineLevel="1">
      <c r="A248" s="29"/>
      <c r="B248" s="52"/>
      <c r="C248" s="821" t="s">
        <v>1549</v>
      </c>
      <c r="D248" s="821"/>
      <c r="E248" s="821"/>
      <c r="F248" s="821"/>
      <c r="G248" s="821"/>
      <c r="H248" s="821"/>
      <c r="I248" s="821"/>
      <c r="J248" s="203"/>
      <c r="K248" s="17"/>
      <c r="L248" s="6"/>
      <c r="M248" s="6"/>
      <c r="R248" s="28"/>
    </row>
    <row r="249" spans="1:18" s="471" customFormat="1" outlineLevel="1">
      <c r="A249" s="467"/>
      <c r="B249" s="468"/>
      <c r="C249" s="461" t="s">
        <v>1268</v>
      </c>
      <c r="D249" s="472"/>
      <c r="E249" s="473"/>
      <c r="F249" s="474"/>
      <c r="G249" s="473"/>
      <c r="H249" s="473"/>
      <c r="I249" s="473"/>
      <c r="J249" s="470"/>
      <c r="K249" s="543"/>
      <c r="L249" s="544"/>
      <c r="M249" s="544"/>
    </row>
    <row r="250" spans="1:18" ht="30" customHeight="1" outlineLevel="2">
      <c r="A250" s="29"/>
      <c r="B250" s="52"/>
      <c r="C250" s="902" t="s">
        <v>1459</v>
      </c>
      <c r="D250" s="903"/>
      <c r="E250" s="890" t="s">
        <v>1253</v>
      </c>
      <c r="F250" s="889"/>
      <c r="G250" s="889"/>
      <c r="H250" s="889" t="s">
        <v>1138</v>
      </c>
      <c r="I250" s="889"/>
      <c r="J250" s="203"/>
      <c r="K250" s="20"/>
      <c r="L250" s="6"/>
      <c r="M250" s="6"/>
      <c r="R250" s="28"/>
    </row>
    <row r="251" spans="1:18" ht="15" customHeight="1" outlineLevel="2">
      <c r="A251" s="29"/>
      <c r="B251" s="52"/>
      <c r="C251" s="891" t="s">
        <v>1458</v>
      </c>
      <c r="D251" s="893"/>
      <c r="E251" s="891" t="s">
        <v>1262</v>
      </c>
      <c r="F251" s="892"/>
      <c r="G251" s="893"/>
      <c r="H251" s="876" t="s">
        <v>1322</v>
      </c>
      <c r="I251" s="878"/>
      <c r="J251" s="203"/>
      <c r="K251" s="17"/>
      <c r="L251" s="6"/>
      <c r="M251" s="6"/>
      <c r="R251" s="28"/>
    </row>
    <row r="252" spans="1:18" ht="15" customHeight="1" outlineLevel="2">
      <c r="A252" s="29"/>
      <c r="B252" s="52"/>
      <c r="C252" s="761" t="s">
        <v>1463</v>
      </c>
      <c r="D252" s="763"/>
      <c r="E252" s="761" t="s">
        <v>1365</v>
      </c>
      <c r="F252" s="762"/>
      <c r="G252" s="763"/>
      <c r="H252" s="809">
        <v>14260</v>
      </c>
      <c r="I252" s="811"/>
      <c r="J252" s="203"/>
      <c r="K252" s="17"/>
      <c r="L252" s="6"/>
      <c r="M252" s="6"/>
      <c r="R252" s="28"/>
    </row>
    <row r="253" spans="1:18" ht="15" customHeight="1" outlineLevel="2">
      <c r="A253" s="29"/>
      <c r="B253" s="52"/>
      <c r="C253" s="761"/>
      <c r="D253" s="763"/>
      <c r="E253" s="761"/>
      <c r="F253" s="762"/>
      <c r="G253" s="763"/>
      <c r="H253" s="809"/>
      <c r="I253" s="811"/>
      <c r="J253" s="203"/>
      <c r="K253" s="17"/>
      <c r="L253" s="6"/>
      <c r="M253" s="6"/>
      <c r="R253" s="28"/>
    </row>
    <row r="254" spans="1:18" ht="15" customHeight="1" outlineLevel="2">
      <c r="A254" s="29"/>
      <c r="B254" s="52"/>
      <c r="C254" s="761"/>
      <c r="D254" s="763"/>
      <c r="E254" s="761"/>
      <c r="F254" s="762"/>
      <c r="G254" s="763"/>
      <c r="H254" s="809"/>
      <c r="I254" s="811"/>
      <c r="J254" s="203"/>
      <c r="K254" s="17"/>
      <c r="L254" s="6"/>
      <c r="M254" s="6"/>
      <c r="R254" s="28"/>
    </row>
    <row r="255" spans="1:18" ht="15" customHeight="1" outlineLevel="2">
      <c r="A255" s="29"/>
      <c r="B255" s="52"/>
      <c r="C255" s="761"/>
      <c r="D255" s="763"/>
      <c r="E255" s="761"/>
      <c r="F255" s="762"/>
      <c r="G255" s="763"/>
      <c r="H255" s="809"/>
      <c r="I255" s="811"/>
      <c r="J255" s="203"/>
      <c r="K255" s="545"/>
      <c r="L255" s="6"/>
      <c r="M255" s="6"/>
      <c r="R255" s="28"/>
    </row>
    <row r="256" spans="1:18" ht="15" customHeight="1" outlineLevel="2">
      <c r="A256" s="29"/>
      <c r="B256" s="52"/>
      <c r="C256" s="589" t="s">
        <v>1456</v>
      </c>
      <c r="D256" s="268"/>
      <c r="E256" s="268"/>
      <c r="F256" s="412"/>
      <c r="G256" s="412"/>
      <c r="H256" s="374" t="s">
        <v>1025</v>
      </c>
      <c r="I256" s="410">
        <f>SUMPRODUCT(H252:I255)</f>
        <v>14260</v>
      </c>
      <c r="J256" s="203"/>
      <c r="K256" s="546"/>
      <c r="L256" s="6"/>
      <c r="M256" s="6"/>
      <c r="R256" s="28"/>
    </row>
    <row r="257" spans="1:19" ht="8.1" customHeight="1" outlineLevel="2">
      <c r="A257" s="29"/>
      <c r="B257" s="52"/>
      <c r="C257" s="268"/>
      <c r="D257" s="268"/>
      <c r="E257" s="268"/>
      <c r="F257" s="412"/>
      <c r="G257" s="412"/>
      <c r="H257" s="268"/>
      <c r="I257" s="268"/>
      <c r="J257" s="203"/>
      <c r="K257" s="17"/>
      <c r="L257" s="6"/>
      <c r="M257" s="6"/>
      <c r="R257" s="28"/>
    </row>
    <row r="258" spans="1:19" ht="15" customHeight="1" outlineLevel="2">
      <c r="A258" s="29"/>
      <c r="B258" s="52"/>
      <c r="C258" s="268"/>
      <c r="D258" s="268"/>
      <c r="E258" s="268"/>
      <c r="F258" s="412"/>
      <c r="G258" s="412"/>
      <c r="H258" s="907" t="s">
        <v>1154</v>
      </c>
      <c r="I258" s="907"/>
      <c r="J258" s="203"/>
      <c r="K258" s="17"/>
      <c r="L258" s="6"/>
      <c r="M258" s="6"/>
      <c r="R258" s="28"/>
    </row>
    <row r="259" spans="1:19" ht="15" customHeight="1" outlineLevel="2">
      <c r="A259" s="29"/>
      <c r="B259" s="52"/>
      <c r="C259" s="268"/>
      <c r="D259" s="268"/>
      <c r="E259" s="268"/>
      <c r="F259" s="412"/>
      <c r="G259" s="412"/>
      <c r="H259" s="142" t="s">
        <v>1346</v>
      </c>
      <c r="I259" s="410">
        <f>IF(ISNUMBER('4. Results &amp; Compliance'!E48),'4. Results &amp; Compliance'!E48,"Enter data")</f>
        <v>1032343.29</v>
      </c>
      <c r="J259" s="203"/>
      <c r="K259" s="19"/>
      <c r="L259" s="6"/>
      <c r="M259" s="6"/>
      <c r="R259" s="28"/>
    </row>
    <row r="260" spans="1:19" ht="15" customHeight="1" outlineLevel="2">
      <c r="A260" s="29"/>
      <c r="B260" s="52"/>
      <c r="C260" s="268"/>
      <c r="D260" s="268"/>
      <c r="E260" s="268"/>
      <c r="F260" s="412"/>
      <c r="G260" s="412"/>
      <c r="H260" s="142" t="s">
        <v>1159</v>
      </c>
      <c r="I260" s="410">
        <f>IF(I256&gt;0,I256,"")</f>
        <v>14260</v>
      </c>
      <c r="J260" s="203"/>
      <c r="K260" s="17"/>
      <c r="L260" s="6"/>
      <c r="M260" s="6"/>
      <c r="R260" s="28"/>
    </row>
    <row r="261" spans="1:19" ht="15" customHeight="1" outlineLevel="2">
      <c r="A261" s="29"/>
      <c r="B261" s="52"/>
      <c r="C261" s="268"/>
      <c r="D261" s="268"/>
      <c r="E261" s="268"/>
      <c r="F261" s="412"/>
      <c r="G261" s="412"/>
      <c r="H261" s="374" t="s">
        <v>1155</v>
      </c>
      <c r="I261" s="413">
        <f>IF(ISNUMBER(I260),IF(ROUND(I260/I259,2)&gt;0.05,0.05,ROUND(I260/I259,2)),"")</f>
        <v>0.01</v>
      </c>
      <c r="J261" s="203"/>
      <c r="K261" s="17"/>
      <c r="L261" s="6"/>
      <c r="M261" s="6"/>
      <c r="R261" s="28"/>
    </row>
    <row r="262" spans="1:19" ht="15" customHeight="1">
      <c r="A262" s="29"/>
      <c r="B262" s="52"/>
      <c r="C262" s="397"/>
      <c r="D262" s="397"/>
      <c r="E262" s="268"/>
      <c r="F262" s="269"/>
      <c r="G262" s="268"/>
      <c r="H262" s="268"/>
      <c r="I262" s="268"/>
      <c r="J262" s="444"/>
      <c r="K262" s="17"/>
      <c r="L262" s="6"/>
      <c r="M262" s="6"/>
    </row>
    <row r="263" spans="1:19" ht="15" customHeight="1">
      <c r="A263" s="29"/>
      <c r="B263" s="52"/>
      <c r="C263" s="379" t="s">
        <v>1389</v>
      </c>
      <c r="D263" s="379"/>
      <c r="E263" s="379"/>
      <c r="F263" s="379"/>
      <c r="G263" s="379"/>
      <c r="H263" s="380" t="s">
        <v>1243</v>
      </c>
      <c r="I263" s="482" t="s">
        <v>81</v>
      </c>
      <c r="J263" s="444"/>
      <c r="K263" s="17"/>
      <c r="L263" s="6"/>
      <c r="M263" s="6"/>
    </row>
    <row r="264" spans="1:19" ht="8.1" customHeight="1">
      <c r="A264" s="29"/>
      <c r="B264" s="52"/>
      <c r="C264" s="398"/>
      <c r="D264" s="398"/>
      <c r="E264" s="398"/>
      <c r="F264" s="398"/>
      <c r="G264" s="398"/>
      <c r="H264" s="398"/>
      <c r="I264" s="398"/>
      <c r="J264" s="444"/>
      <c r="K264" s="17"/>
      <c r="L264" s="6"/>
      <c r="M264" s="6"/>
    </row>
    <row r="265" spans="1:19" ht="30" customHeight="1">
      <c r="A265" s="431"/>
      <c r="B265" s="432"/>
      <c r="C265" s="433"/>
      <c r="D265" s="433"/>
      <c r="E265" s="433"/>
      <c r="F265" s="434"/>
      <c r="G265" s="433" t="str">
        <f>_xlfn.CONCAT("Total ILCs for ",C263)</f>
        <v>Total ILCs for b.iii Design for Disassembly (Max 5%)</v>
      </c>
      <c r="H265" s="930">
        <f>IF(COUNTA(H269:H270,C288:C290)&gt;4,IF(H269="Yes",IF(H270="Yes",IF(SUM(I278,I283)&gt;0.05,0.05,SUM(I278,I283)),I278),IF(H270="Yes",I283,"")),'Backend (to be hidden)'!CM29)</f>
        <v>2.9182529548891271E-2</v>
      </c>
      <c r="I265" s="931"/>
      <c r="J265" s="436"/>
      <c r="K265" s="538"/>
      <c r="L265" s="539"/>
      <c r="M265" s="539"/>
      <c r="N265" s="437"/>
      <c r="O265" s="437"/>
      <c r="P265" s="437"/>
      <c r="Q265" s="437"/>
      <c r="R265" s="437"/>
      <c r="S265" s="437"/>
    </row>
    <row r="266" spans="1:19" ht="45" customHeight="1">
      <c r="A266" s="29"/>
      <c r="B266" s="141"/>
      <c r="C266" s="910" t="s">
        <v>1464</v>
      </c>
      <c r="D266" s="910"/>
      <c r="E266" s="910"/>
      <c r="F266" s="910"/>
      <c r="G266" s="910"/>
      <c r="H266" s="910"/>
      <c r="I266" s="910"/>
      <c r="J266" s="444"/>
      <c r="K266" s="17"/>
      <c r="L266" s="6"/>
      <c r="M266" s="6"/>
    </row>
    <row r="267" spans="1:19" s="437" customFormat="1" ht="15" customHeight="1">
      <c r="A267" s="431"/>
      <c r="B267" s="432"/>
      <c r="C267" s="461" t="s">
        <v>1240</v>
      </c>
      <c r="D267" s="433"/>
      <c r="E267" s="435"/>
      <c r="F267" s="434"/>
      <c r="G267" s="435"/>
      <c r="H267" s="435"/>
      <c r="I267" s="435"/>
      <c r="J267" s="436"/>
      <c r="K267" s="538"/>
      <c r="L267" s="539"/>
      <c r="M267" s="539"/>
    </row>
    <row r="268" spans="1:19" ht="15" customHeight="1" outlineLevel="1">
      <c r="A268" s="29"/>
      <c r="B268" s="141"/>
      <c r="C268" s="254"/>
      <c r="D268" s="254"/>
      <c r="E268" s="254"/>
      <c r="F268" s="254"/>
      <c r="G268" s="254"/>
      <c r="H268" s="381" t="s">
        <v>1203</v>
      </c>
      <c r="I268" s="399" t="s">
        <v>1144</v>
      </c>
      <c r="J268" s="203"/>
      <c r="K268" s="17"/>
      <c r="L268" s="6"/>
      <c r="M268" s="6"/>
      <c r="R268" s="28"/>
    </row>
    <row r="269" spans="1:19" ht="15" customHeight="1" outlineLevel="1">
      <c r="A269" s="29"/>
      <c r="B269" s="141"/>
      <c r="C269" s="254"/>
      <c r="D269" s="397"/>
      <c r="E269" s="254"/>
      <c r="F269" s="398"/>
      <c r="G269" s="397" t="s">
        <v>567</v>
      </c>
      <c r="H269" s="510" t="s">
        <v>81</v>
      </c>
      <c r="I269" s="406" t="s">
        <v>1132</v>
      </c>
      <c r="J269" s="203"/>
      <c r="K269" s="17"/>
      <c r="L269" s="6"/>
      <c r="M269" s="6"/>
      <c r="R269" s="28"/>
    </row>
    <row r="270" spans="1:19" ht="15" customHeight="1" outlineLevel="1">
      <c r="A270" s="29"/>
      <c r="B270" s="141"/>
      <c r="C270" s="254"/>
      <c r="D270" s="397"/>
      <c r="E270" s="254"/>
      <c r="F270" s="398"/>
      <c r="G270" s="397" t="s">
        <v>568</v>
      </c>
      <c r="H270" s="510" t="s">
        <v>81</v>
      </c>
      <c r="I270" s="406" t="s">
        <v>1132</v>
      </c>
      <c r="J270" s="203"/>
      <c r="K270" s="17"/>
      <c r="L270" s="6"/>
      <c r="M270" s="6"/>
      <c r="R270" s="28"/>
    </row>
    <row r="271" spans="1:19" ht="15" customHeight="1" outlineLevel="1">
      <c r="A271" s="29"/>
      <c r="B271" s="141"/>
      <c r="C271" s="254"/>
      <c r="D271" s="580"/>
      <c r="E271" s="254"/>
      <c r="F271" s="582"/>
      <c r="G271" s="580"/>
      <c r="H271" s="408"/>
      <c r="I271" s="408"/>
      <c r="J271" s="203"/>
      <c r="K271" s="17"/>
      <c r="L271" s="6"/>
      <c r="M271" s="6"/>
      <c r="R271" s="28"/>
    </row>
    <row r="272" spans="1:19" ht="15" customHeight="1" outlineLevel="1">
      <c r="A272" s="29"/>
      <c r="B272" s="141"/>
      <c r="C272" s="254"/>
      <c r="D272" s="580"/>
      <c r="E272" s="254"/>
      <c r="F272" s="582"/>
      <c r="G272" s="580" t="s">
        <v>1465</v>
      </c>
      <c r="H272" s="578" t="s">
        <v>81</v>
      </c>
      <c r="I272" s="408"/>
      <c r="J272" s="203"/>
      <c r="K272" s="17"/>
      <c r="L272" s="6"/>
      <c r="M272" s="6"/>
      <c r="R272" s="28"/>
    </row>
    <row r="273" spans="1:18" ht="15" customHeight="1" outlineLevel="1">
      <c r="A273" s="29"/>
      <c r="B273" s="141"/>
      <c r="C273" s="254"/>
      <c r="D273" s="580"/>
      <c r="E273" s="580"/>
      <c r="F273" s="354"/>
      <c r="G273" s="585"/>
      <c r="H273" s="582"/>
      <c r="I273" s="591" t="s">
        <v>1605</v>
      </c>
      <c r="J273" s="203"/>
      <c r="K273" s="17"/>
      <c r="L273" s="6"/>
      <c r="M273" s="6"/>
      <c r="R273" s="28"/>
    </row>
    <row r="274" spans="1:18" ht="8.1" customHeight="1" outlineLevel="1">
      <c r="A274" s="29"/>
      <c r="B274" s="141"/>
      <c r="C274" s="254"/>
      <c r="D274" s="397"/>
      <c r="E274" s="254"/>
      <c r="F274" s="398"/>
      <c r="G274" s="397"/>
      <c r="H274" s="268"/>
      <c r="I274" s="268"/>
      <c r="J274" s="203"/>
      <c r="K274" s="17"/>
      <c r="L274" s="6"/>
      <c r="M274" s="6"/>
      <c r="R274" s="28"/>
    </row>
    <row r="275" spans="1:18" ht="15" customHeight="1" outlineLevel="1">
      <c r="A275" s="29"/>
      <c r="B275" s="52"/>
      <c r="C275" s="376" t="s">
        <v>567</v>
      </c>
      <c r="D275" s="376"/>
      <c r="E275" s="376"/>
      <c r="F275" s="376"/>
      <c r="G275" s="376"/>
      <c r="H275" s="376"/>
      <c r="I275" s="376"/>
      <c r="J275" s="203"/>
      <c r="K275" s="17"/>
      <c r="L275" s="6"/>
      <c r="M275" s="6"/>
      <c r="R275" s="28"/>
    </row>
    <row r="276" spans="1:18" ht="8.1" customHeight="1" outlineLevel="1">
      <c r="A276" s="29"/>
      <c r="B276" s="52"/>
      <c r="C276" s="353"/>
      <c r="D276" s="397"/>
      <c r="E276" s="268"/>
      <c r="F276" s="269"/>
      <c r="G276" s="268"/>
      <c r="H276" s="268"/>
      <c r="I276" s="268"/>
      <c r="J276" s="203"/>
      <c r="K276" s="17"/>
      <c r="L276" s="6"/>
      <c r="M276" s="6"/>
      <c r="R276" s="28"/>
    </row>
    <row r="277" spans="1:18" ht="15" customHeight="1" outlineLevel="1">
      <c r="A277" s="29"/>
      <c r="B277" s="141"/>
      <c r="C277" s="254"/>
      <c r="D277" s="254"/>
      <c r="E277" s="907" t="s">
        <v>1204</v>
      </c>
      <c r="F277" s="908"/>
      <c r="G277" s="909" t="s">
        <v>1306</v>
      </c>
      <c r="H277" s="908"/>
      <c r="I277" s="399" t="s">
        <v>1146</v>
      </c>
      <c r="J277" s="203"/>
      <c r="K277" s="17"/>
      <c r="L277" s="6"/>
      <c r="M277" s="6"/>
      <c r="R277" s="28"/>
    </row>
    <row r="278" spans="1:18" ht="15" customHeight="1" outlineLevel="1">
      <c r="A278" s="29"/>
      <c r="B278" s="141"/>
      <c r="C278" s="397"/>
      <c r="D278" s="397" t="s">
        <v>1198</v>
      </c>
      <c r="E278" s="809">
        <v>100</v>
      </c>
      <c r="F278" s="811"/>
      <c r="G278" s="876">
        <f>IF(ISNUMBER('Backend (to be hidden)'!CI4),'Backend (to be hidden)'!CI4,"Enter data")</f>
        <v>5000</v>
      </c>
      <c r="H278" s="878"/>
      <c r="I278" s="406">
        <f>IF(AND(ISNUMBER(E278),ISNUMBER(G278)),IF(E278/G278*0.5&gt;0.05,0.05,E278/G278*0.5),"")</f>
        <v>0.01</v>
      </c>
      <c r="J278" s="203"/>
      <c r="K278" s="17"/>
      <c r="L278" s="6"/>
      <c r="M278" s="6"/>
      <c r="R278" s="28"/>
    </row>
    <row r="279" spans="1:18" ht="8.1" customHeight="1" outlineLevel="1">
      <c r="A279" s="29"/>
      <c r="B279" s="141"/>
      <c r="C279" s="254"/>
      <c r="D279" s="397"/>
      <c r="E279" s="254"/>
      <c r="F279" s="398"/>
      <c r="G279" s="397"/>
      <c r="H279" s="268"/>
      <c r="I279" s="268"/>
      <c r="J279" s="203"/>
      <c r="K279" s="17"/>
      <c r="L279" s="6"/>
      <c r="M279" s="6"/>
      <c r="R279" s="28"/>
    </row>
    <row r="280" spans="1:18" ht="15" customHeight="1" outlineLevel="1">
      <c r="A280" s="29"/>
      <c r="B280" s="52"/>
      <c r="C280" s="376" t="s">
        <v>568</v>
      </c>
      <c r="D280" s="376"/>
      <c r="E280" s="376"/>
      <c r="F280" s="376"/>
      <c r="G280" s="376"/>
      <c r="H280" s="376"/>
      <c r="I280" s="376"/>
      <c r="J280" s="203"/>
      <c r="K280" s="17"/>
      <c r="L280" s="6"/>
      <c r="M280" s="6"/>
      <c r="R280" s="28"/>
    </row>
    <row r="281" spans="1:18" ht="8.1" customHeight="1" outlineLevel="1">
      <c r="A281" s="29"/>
      <c r="B281" s="52"/>
      <c r="C281" s="353"/>
      <c r="D281" s="397"/>
      <c r="E281" s="268"/>
      <c r="F281" s="269"/>
      <c r="G281" s="268"/>
      <c r="H281" s="268"/>
      <c r="I281" s="268"/>
      <c r="J281" s="203"/>
      <c r="K281" s="17"/>
      <c r="L281" s="6"/>
      <c r="M281" s="6"/>
      <c r="R281" s="28"/>
    </row>
    <row r="282" spans="1:18" ht="30" customHeight="1" outlineLevel="1">
      <c r="A282" s="29"/>
      <c r="B282" s="141"/>
      <c r="C282" s="254"/>
      <c r="D282" s="254"/>
      <c r="E282" s="907" t="s">
        <v>1200</v>
      </c>
      <c r="F282" s="907"/>
      <c r="G282" s="907" t="s">
        <v>1201</v>
      </c>
      <c r="H282" s="908"/>
      <c r="I282" s="399" t="s">
        <v>1144</v>
      </c>
      <c r="J282" s="203"/>
      <c r="K282" s="17"/>
      <c r="L282" s="6"/>
      <c r="M282" s="6"/>
      <c r="R282" s="28"/>
    </row>
    <row r="283" spans="1:18" ht="15" customHeight="1" outlineLevel="1">
      <c r="A283" s="29"/>
      <c r="B283" s="141"/>
      <c r="C283" s="397"/>
      <c r="D283" s="397" t="s">
        <v>1199</v>
      </c>
      <c r="E283" s="809">
        <v>20000</v>
      </c>
      <c r="F283" s="811"/>
      <c r="G283" s="876">
        <f>IF(ISBLANK(E283),"",IF(ISNUMBER('4. Results &amp; Compliance'!E48),'4. Results &amp; Compliance'!E48,"Enter data"))</f>
        <v>1032343.29</v>
      </c>
      <c r="H283" s="878"/>
      <c r="I283" s="406">
        <f>IF(AND(ISNUMBER(E283),ISNUMBER(G283)),IF((E283+IF(ISNUMBER(E285),E285,0))/(G283+IF(ISNUMBER(G285),G285,0))&gt;0.05,0.05,(E283+IF(ISNUMBER(E285),E285,0))/(G283+IF(ISNUMBER(G285),G285,0))),"")</f>
        <v>1.9182529548891269E-2</v>
      </c>
      <c r="J283" s="203"/>
      <c r="K283" s="17"/>
      <c r="L283" s="485"/>
      <c r="M283" s="6"/>
      <c r="R283" s="28"/>
    </row>
    <row r="284" spans="1:18" ht="15" customHeight="1" outlineLevel="1">
      <c r="A284" s="29"/>
      <c r="B284" s="141"/>
      <c r="C284" s="580"/>
      <c r="D284" s="580"/>
      <c r="E284" s="580"/>
      <c r="F284" s="580"/>
      <c r="G284" s="580"/>
      <c r="H284" s="580"/>
      <c r="I284" s="580"/>
      <c r="J284" s="203"/>
      <c r="K284" s="17"/>
      <c r="L284" s="485"/>
      <c r="M284" s="6"/>
      <c r="R284" s="28"/>
    </row>
    <row r="285" spans="1:18" ht="30" customHeight="1" outlineLevel="1">
      <c r="A285" s="29"/>
      <c r="B285" s="141"/>
      <c r="C285" s="846" t="s">
        <v>1202</v>
      </c>
      <c r="D285" s="747"/>
      <c r="E285" s="809">
        <v>20200</v>
      </c>
      <c r="F285" s="811"/>
      <c r="G285" s="876">
        <f>IF(ISNUMBER(E285),IF('4. Results &amp; Compliance'!H38="(Compliance)",'4. Results &amp; Compliance'!H48,IF('4. Results &amp; Compliance'!G38="(Compliance)",'4. Results &amp; Compliance'!G48,IF('4. Results &amp; Compliance'!H38="(Reporting)",'4. Results &amp; Compliance'!H48,IF('4. Results &amp; Compliance'!G38="(Reporting)",'4. Results &amp; Compliance'!G48,"")))),"")</f>
        <v>1063313.5887</v>
      </c>
      <c r="H285" s="878"/>
      <c r="I285" s="268"/>
      <c r="J285" s="203"/>
      <c r="K285" s="17"/>
      <c r="L285" s="6"/>
      <c r="M285" s="6"/>
      <c r="R285" s="28"/>
    </row>
    <row r="286" spans="1:18" ht="8.1" customHeight="1" outlineLevel="1">
      <c r="A286" s="29"/>
      <c r="B286" s="141"/>
      <c r="C286" s="254"/>
      <c r="D286" s="397"/>
      <c r="E286" s="254"/>
      <c r="F286" s="176"/>
      <c r="G286" s="397"/>
      <c r="H286" s="397"/>
      <c r="I286" s="268"/>
      <c r="J286" s="203"/>
      <c r="K286" s="17"/>
      <c r="L286" s="6"/>
      <c r="M286" s="6"/>
      <c r="R286" s="28"/>
    </row>
    <row r="287" spans="1:18" ht="15" customHeight="1" outlineLevel="1">
      <c r="A287" s="29"/>
      <c r="B287" s="52"/>
      <c r="C287" s="378" t="s">
        <v>1142</v>
      </c>
      <c r="D287" s="378"/>
      <c r="E287" s="378"/>
      <c r="F287" s="377"/>
      <c r="G287" s="377"/>
      <c r="H287" s="377"/>
      <c r="I287" s="377"/>
      <c r="J287" s="203"/>
      <c r="K287" s="17"/>
      <c r="L287" s="6"/>
      <c r="M287" s="6"/>
      <c r="R287" s="28"/>
    </row>
    <row r="288" spans="1:18" ht="30" customHeight="1" outlineLevel="1">
      <c r="A288" s="29"/>
      <c r="B288" s="52"/>
      <c r="C288" s="504" t="s">
        <v>1048</v>
      </c>
      <c r="D288" s="901" t="s">
        <v>1205</v>
      </c>
      <c r="E288" s="801"/>
      <c r="F288" s="801"/>
      <c r="G288" s="801"/>
      <c r="H288" s="801"/>
      <c r="I288" s="801"/>
      <c r="J288" s="203"/>
      <c r="K288" s="17"/>
      <c r="L288" s="6"/>
      <c r="M288" s="6"/>
      <c r="R288" s="28"/>
    </row>
    <row r="289" spans="1:18" ht="15" customHeight="1" outlineLevel="1">
      <c r="A289" s="29"/>
      <c r="B289" s="52"/>
      <c r="C289" s="504" t="s">
        <v>1048</v>
      </c>
      <c r="D289" s="901" t="s">
        <v>1450</v>
      </c>
      <c r="E289" s="801"/>
      <c r="F289" s="801"/>
      <c r="G289" s="801"/>
      <c r="H289" s="801"/>
      <c r="I289" s="801"/>
      <c r="J289" s="203"/>
      <c r="K289" s="17"/>
      <c r="L289" s="6"/>
      <c r="M289" s="6"/>
      <c r="R289" s="28"/>
    </row>
    <row r="290" spans="1:18" ht="15" customHeight="1" outlineLevel="1">
      <c r="A290" s="29"/>
      <c r="B290" s="52"/>
      <c r="C290" s="504" t="s">
        <v>1048</v>
      </c>
      <c r="D290" s="901" t="s">
        <v>1206</v>
      </c>
      <c r="E290" s="801"/>
      <c r="F290" s="801"/>
      <c r="G290" s="801"/>
      <c r="H290" s="801"/>
      <c r="I290" s="801"/>
      <c r="J290" s="203"/>
      <c r="K290" s="17"/>
      <c r="L290" s="6"/>
      <c r="M290" s="6"/>
      <c r="R290" s="28"/>
    </row>
    <row r="291" spans="1:18" ht="8.1" customHeight="1" outlineLevel="1">
      <c r="A291" s="29"/>
      <c r="B291" s="52"/>
      <c r="C291" s="394"/>
      <c r="D291" s="394"/>
      <c r="E291" s="394"/>
      <c r="F291" s="394"/>
      <c r="G291" s="394"/>
      <c r="H291" s="394"/>
      <c r="I291" s="394"/>
      <c r="J291" s="203"/>
      <c r="K291" s="17"/>
      <c r="L291" s="6"/>
      <c r="M291" s="6"/>
      <c r="R291" s="28"/>
    </row>
    <row r="292" spans="1:18" ht="15" customHeight="1" outlineLevel="1">
      <c r="A292" s="29"/>
      <c r="B292" s="52"/>
      <c r="C292" s="819" t="s">
        <v>1055</v>
      </c>
      <c r="D292" s="819"/>
      <c r="E292" s="819"/>
      <c r="F292" s="819"/>
      <c r="G292" s="819"/>
      <c r="H292" s="819"/>
      <c r="I292" s="819"/>
      <c r="J292" s="203"/>
      <c r="K292" s="17"/>
      <c r="L292" s="6"/>
      <c r="M292" s="6"/>
      <c r="R292" s="28"/>
    </row>
    <row r="293" spans="1:18" ht="15" customHeight="1" outlineLevel="1">
      <c r="A293" s="29"/>
      <c r="B293" s="52"/>
      <c r="C293" s="829" t="s">
        <v>1432</v>
      </c>
      <c r="D293" s="829"/>
      <c r="E293" s="829"/>
      <c r="F293" s="829"/>
      <c r="G293" s="829"/>
      <c r="H293" s="829"/>
      <c r="I293" s="829"/>
      <c r="J293" s="203"/>
      <c r="K293" s="17"/>
      <c r="L293" s="6"/>
      <c r="M293" s="6"/>
      <c r="R293" s="28"/>
    </row>
    <row r="294" spans="1:18" ht="69.95" customHeight="1" outlineLevel="1">
      <c r="A294" s="29"/>
      <c r="B294" s="52"/>
      <c r="C294" s="904"/>
      <c r="D294" s="905"/>
      <c r="E294" s="905"/>
      <c r="F294" s="905"/>
      <c r="G294" s="905"/>
      <c r="H294" s="905"/>
      <c r="I294" s="906"/>
      <c r="J294" s="203"/>
      <c r="K294" s="17"/>
      <c r="L294" s="6"/>
      <c r="M294" s="6"/>
      <c r="R294" s="28"/>
    </row>
    <row r="295" spans="1:18" ht="15" customHeight="1" thickBot="1">
      <c r="A295" s="29"/>
      <c r="B295" s="55"/>
      <c r="C295" s="56"/>
      <c r="D295" s="56"/>
      <c r="E295" s="56"/>
      <c r="F295" s="56"/>
      <c r="G295" s="56"/>
      <c r="H295" s="56"/>
      <c r="I295" s="56"/>
      <c r="J295" s="445"/>
      <c r="K295" s="17"/>
      <c r="L295" s="6"/>
      <c r="M295" s="6"/>
    </row>
    <row r="296" spans="1:18" ht="15" customHeight="1">
      <c r="B296" s="197"/>
      <c r="C296" s="197"/>
      <c r="D296" s="197"/>
      <c r="E296" s="197"/>
      <c r="F296" s="197"/>
      <c r="G296" s="197"/>
      <c r="H296" s="197"/>
      <c r="I296" s="197"/>
      <c r="J296" s="446"/>
      <c r="K296" s="17"/>
      <c r="L296" s="6"/>
      <c r="M296" s="6"/>
    </row>
    <row r="297" spans="1:18" ht="15" customHeight="1">
      <c r="B297" s="197"/>
      <c r="C297" s="197"/>
      <c r="D297" s="197"/>
      <c r="E297" s="197"/>
      <c r="F297" s="197"/>
      <c r="G297" s="197"/>
      <c r="H297" s="197"/>
      <c r="I297" s="197"/>
      <c r="J297" s="446"/>
      <c r="K297" s="17"/>
      <c r="L297" s="6"/>
      <c r="M297" s="6"/>
    </row>
    <row r="298" spans="1:18" ht="15" hidden="1" customHeight="1">
      <c r="J298" s="446"/>
    </row>
    <row r="299" spans="1:18" ht="15" hidden="1" customHeight="1">
      <c r="J299" s="446"/>
    </row>
    <row r="300" spans="1:18" ht="15" hidden="1" customHeight="1">
      <c r="J300" s="446"/>
    </row>
    <row r="301" spans="1:18" ht="15" hidden="1" customHeight="1">
      <c r="J301" s="446"/>
    </row>
    <row r="302" spans="1:18" ht="15" hidden="1" customHeight="1">
      <c r="J302" s="446"/>
    </row>
    <row r="303" spans="1:18" ht="15" hidden="1" customHeight="1">
      <c r="J303" s="446"/>
    </row>
    <row r="304" spans="1:18" ht="15" hidden="1" customHeight="1">
      <c r="J304" s="446"/>
    </row>
    <row r="305" spans="10:10" ht="15" hidden="1" customHeight="1">
      <c r="J305" s="446"/>
    </row>
    <row r="306" spans="10:10" ht="15" hidden="1" customHeight="1">
      <c r="J306" s="446"/>
    </row>
    <row r="307" spans="10:10" ht="15" hidden="1" customHeight="1">
      <c r="J307" s="446"/>
    </row>
    <row r="308" spans="10:10" ht="15" hidden="1" customHeight="1">
      <c r="J308" s="446"/>
    </row>
    <row r="309" spans="10:10" ht="15" hidden="1" customHeight="1">
      <c r="J309" s="446"/>
    </row>
    <row r="310" spans="10:10" ht="15" hidden="1" customHeight="1">
      <c r="J310" s="446"/>
    </row>
    <row r="311" spans="10:10" ht="15" hidden="1" customHeight="1">
      <c r="J311" s="446"/>
    </row>
    <row r="312" spans="10:10" ht="15" hidden="1" customHeight="1">
      <c r="J312" s="446"/>
    </row>
    <row r="313" spans="10:10" ht="15" hidden="1" customHeight="1">
      <c r="J313" s="446"/>
    </row>
    <row r="314" spans="10:10" ht="15" hidden="1" customHeight="1">
      <c r="J314" s="446"/>
    </row>
    <row r="315" spans="10:10" ht="15" hidden="1" customHeight="1">
      <c r="J315" s="446"/>
    </row>
    <row r="316" spans="10:10" ht="15" hidden="1" customHeight="1">
      <c r="J316" s="446"/>
    </row>
    <row r="317" spans="10:10" ht="15" hidden="1" customHeight="1">
      <c r="J317" s="446"/>
    </row>
    <row r="318" spans="10:10" ht="15" hidden="1" customHeight="1">
      <c r="J318" s="446"/>
    </row>
    <row r="319" spans="10:10" ht="15" hidden="1" customHeight="1">
      <c r="J319" s="446"/>
    </row>
    <row r="320" spans="10:10" ht="15" hidden="1" customHeight="1">
      <c r="J320" s="446"/>
    </row>
    <row r="321" spans="10:10" ht="15" hidden="1" customHeight="1">
      <c r="J321" s="446"/>
    </row>
    <row r="322" spans="10:10" ht="15" hidden="1" customHeight="1">
      <c r="J322" s="446"/>
    </row>
    <row r="323" spans="10:10" ht="15" hidden="1" customHeight="1">
      <c r="J323" s="446"/>
    </row>
    <row r="324" spans="10:10" ht="15" hidden="1" customHeight="1">
      <c r="J324" s="446"/>
    </row>
    <row r="325" spans="10:10" ht="15" hidden="1" customHeight="1">
      <c r="J325" s="446"/>
    </row>
    <row r="326" spans="10:10" ht="15" hidden="1" customHeight="1">
      <c r="J326" s="446"/>
    </row>
    <row r="327" spans="10:10" ht="15" hidden="1" customHeight="1">
      <c r="J327" s="446"/>
    </row>
    <row r="328" spans="10:10" ht="15" hidden="1" customHeight="1">
      <c r="J328" s="446"/>
    </row>
    <row r="329" spans="10:10" ht="15" hidden="1" customHeight="1">
      <c r="J329" s="446"/>
    </row>
    <row r="330" spans="10:10" ht="15" hidden="1" customHeight="1">
      <c r="J330" s="446"/>
    </row>
    <row r="331" spans="10:10" ht="15" hidden="1" customHeight="1">
      <c r="J331" s="446"/>
    </row>
    <row r="332" spans="10:10" ht="15" hidden="1" customHeight="1">
      <c r="J332" s="446"/>
    </row>
    <row r="333" spans="10:10" ht="15" hidden="1" customHeight="1">
      <c r="J333" s="446"/>
    </row>
    <row r="334" spans="10:10" ht="15" hidden="1" customHeight="1">
      <c r="J334" s="446"/>
    </row>
    <row r="335" spans="10:10" ht="15" hidden="1" customHeight="1">
      <c r="J335" s="446"/>
    </row>
    <row r="336" spans="10:10" ht="15" hidden="1" customHeight="1">
      <c r="J336" s="446"/>
    </row>
    <row r="337" spans="10:10" ht="15" hidden="1" customHeight="1">
      <c r="J337" s="446"/>
    </row>
    <row r="338" spans="10:10" ht="15" hidden="1" customHeight="1">
      <c r="J338" s="446"/>
    </row>
    <row r="339" spans="10:10" ht="15" hidden="1" customHeight="1">
      <c r="J339" s="446"/>
    </row>
    <row r="340" spans="10:10" ht="15" hidden="1" customHeight="1">
      <c r="J340" s="446"/>
    </row>
    <row r="341" spans="10:10" ht="15" hidden="1" customHeight="1">
      <c r="J341" s="446"/>
    </row>
    <row r="342" spans="10:10" ht="15" hidden="1" customHeight="1">
      <c r="J342" s="446"/>
    </row>
    <row r="343" spans="10:10" ht="15" hidden="1" customHeight="1">
      <c r="J343" s="446"/>
    </row>
    <row r="344" spans="10:10" ht="15" hidden="1" customHeight="1">
      <c r="J344" s="446"/>
    </row>
    <row r="345" spans="10:10" ht="15" hidden="1" customHeight="1">
      <c r="J345" s="446"/>
    </row>
    <row r="346" spans="10:10" ht="15" hidden="1" customHeight="1">
      <c r="J346" s="446"/>
    </row>
    <row r="347" spans="10:10" ht="15" hidden="1" customHeight="1">
      <c r="J347" s="446"/>
    </row>
    <row r="348" spans="10:10" ht="15" hidden="1" customHeight="1">
      <c r="J348" s="446"/>
    </row>
    <row r="349" spans="10:10" ht="15" hidden="1" customHeight="1">
      <c r="J349" s="446"/>
    </row>
    <row r="350" spans="10:10" ht="15" hidden="1" customHeight="1">
      <c r="J350" s="446"/>
    </row>
    <row r="351" spans="10:10" ht="15" hidden="1" customHeight="1">
      <c r="J351" s="446"/>
    </row>
    <row r="352" spans="10:10" ht="15" hidden="1" customHeight="1">
      <c r="J352" s="446"/>
    </row>
    <row r="353" spans="10:10" ht="15" hidden="1" customHeight="1">
      <c r="J353" s="446"/>
    </row>
    <row r="354" spans="10:10" ht="15" hidden="1" customHeight="1">
      <c r="J354" s="446"/>
    </row>
    <row r="355" spans="10:10" ht="15" hidden="1" customHeight="1">
      <c r="J355" s="446"/>
    </row>
    <row r="356" spans="10:10" ht="15" hidden="1" customHeight="1">
      <c r="J356" s="446"/>
    </row>
    <row r="357" spans="10:10" ht="15" hidden="1" customHeight="1">
      <c r="J357" s="446"/>
    </row>
    <row r="358" spans="10:10" ht="15" hidden="1" customHeight="1">
      <c r="J358" s="446"/>
    </row>
    <row r="359" spans="10:10" ht="15" hidden="1" customHeight="1">
      <c r="J359" s="446"/>
    </row>
    <row r="360" spans="10:10" ht="15" hidden="1" customHeight="1">
      <c r="J360" s="446"/>
    </row>
    <row r="361" spans="10:10" ht="15" hidden="1" customHeight="1">
      <c r="J361" s="446"/>
    </row>
    <row r="362" spans="10:10" ht="15" hidden="1" customHeight="1">
      <c r="J362" s="446"/>
    </row>
    <row r="363" spans="10:10" ht="15" hidden="1" customHeight="1">
      <c r="J363" s="446"/>
    </row>
    <row r="364" spans="10:10" ht="15" hidden="1" customHeight="1">
      <c r="J364" s="446"/>
    </row>
    <row r="365" spans="10:10" ht="15" hidden="1" customHeight="1">
      <c r="J365" s="446"/>
    </row>
    <row r="366" spans="10:10" ht="15" hidden="1" customHeight="1">
      <c r="J366" s="446"/>
    </row>
    <row r="367" spans="10:10" ht="15" hidden="1" customHeight="1">
      <c r="J367" s="446"/>
    </row>
    <row r="368" spans="10:10" ht="15" hidden="1" customHeight="1">
      <c r="J368" s="446"/>
    </row>
    <row r="369" spans="10:10" ht="15" hidden="1" customHeight="1">
      <c r="J369" s="446"/>
    </row>
    <row r="370" spans="10:10" ht="15" hidden="1" customHeight="1">
      <c r="J370" s="446"/>
    </row>
    <row r="371" spans="10:10" ht="15" hidden="1" customHeight="1">
      <c r="J371" s="446"/>
    </row>
    <row r="372" spans="10:10" ht="15" hidden="1" customHeight="1">
      <c r="J372" s="446"/>
    </row>
    <row r="373" spans="10:10" ht="15" hidden="1" customHeight="1">
      <c r="J373" s="446"/>
    </row>
    <row r="374" spans="10:10" ht="15" hidden="1" customHeight="1">
      <c r="J374" s="446"/>
    </row>
    <row r="375" spans="10:10" ht="15" hidden="1" customHeight="1">
      <c r="J375" s="446"/>
    </row>
    <row r="376" spans="10:10" ht="15" hidden="1" customHeight="1">
      <c r="J376" s="446"/>
    </row>
    <row r="377" spans="10:10" ht="15" hidden="1" customHeight="1">
      <c r="J377" s="446"/>
    </row>
    <row r="378" spans="10:10" ht="15" hidden="1" customHeight="1">
      <c r="J378" s="446"/>
    </row>
    <row r="379" spans="10:10" ht="15" hidden="1" customHeight="1">
      <c r="J379" s="446"/>
    </row>
    <row r="380" spans="10:10" ht="15" hidden="1" customHeight="1">
      <c r="J380" s="446"/>
    </row>
    <row r="381" spans="10:10" ht="15" hidden="1" customHeight="1">
      <c r="J381" s="446"/>
    </row>
    <row r="382" spans="10:10" ht="15" hidden="1" customHeight="1">
      <c r="J382" s="446"/>
    </row>
    <row r="383" spans="10:10" ht="15" hidden="1" customHeight="1">
      <c r="J383" s="446"/>
    </row>
    <row r="384" spans="10:10" ht="15" hidden="1" customHeight="1">
      <c r="J384" s="446"/>
    </row>
    <row r="385" spans="10:10" ht="15" hidden="1" customHeight="1">
      <c r="J385" s="446"/>
    </row>
    <row r="386" spans="10:10" ht="15" hidden="1" customHeight="1">
      <c r="J386" s="446"/>
    </row>
    <row r="387" spans="10:10" ht="15" hidden="1" customHeight="1">
      <c r="J387" s="446"/>
    </row>
    <row r="388" spans="10:10" ht="15" hidden="1" customHeight="1">
      <c r="J388" s="446"/>
    </row>
    <row r="389" spans="10:10" ht="15" hidden="1" customHeight="1">
      <c r="J389" s="446"/>
    </row>
    <row r="390" spans="10:10" ht="15" hidden="1" customHeight="1">
      <c r="J390" s="446"/>
    </row>
    <row r="391" spans="10:10" ht="15" hidden="1" customHeight="1">
      <c r="J391" s="446"/>
    </row>
    <row r="392" spans="10:10" ht="15" hidden="1" customHeight="1">
      <c r="J392" s="446"/>
    </row>
    <row r="393" spans="10:10" ht="15" hidden="1" customHeight="1">
      <c r="J393" s="446"/>
    </row>
    <row r="394" spans="10:10" ht="15" hidden="1" customHeight="1">
      <c r="J394" s="446"/>
    </row>
    <row r="395" spans="10:10" ht="15" hidden="1" customHeight="1">
      <c r="J395" s="446"/>
    </row>
    <row r="396" spans="10:10" ht="15" hidden="1" customHeight="1">
      <c r="J396" s="446"/>
    </row>
    <row r="397" spans="10:10" ht="15" hidden="1" customHeight="1">
      <c r="J397" s="446"/>
    </row>
    <row r="398" spans="10:10" ht="15" hidden="1" customHeight="1">
      <c r="J398" s="446"/>
    </row>
    <row r="399" spans="10:10" ht="15" hidden="1" customHeight="1">
      <c r="J399" s="446"/>
    </row>
    <row r="400" spans="10:10" ht="15" hidden="1" customHeight="1">
      <c r="J400" s="446"/>
    </row>
    <row r="401" spans="10:10" ht="15" hidden="1" customHeight="1">
      <c r="J401" s="446"/>
    </row>
    <row r="402" spans="10:10" ht="15" hidden="1" customHeight="1">
      <c r="J402" s="446"/>
    </row>
    <row r="403" spans="10:10" ht="15" hidden="1" customHeight="1">
      <c r="J403" s="446"/>
    </row>
    <row r="404" spans="10:10" ht="15" hidden="1" customHeight="1">
      <c r="J404" s="446"/>
    </row>
    <row r="405" spans="10:10" ht="15" hidden="1" customHeight="1">
      <c r="J405" s="446"/>
    </row>
    <row r="406" spans="10:10" ht="15" hidden="1" customHeight="1">
      <c r="J406" s="446"/>
    </row>
    <row r="407" spans="10:10" ht="15" hidden="1" customHeight="1">
      <c r="J407" s="446"/>
    </row>
    <row r="408" spans="10:10" ht="15" hidden="1" customHeight="1">
      <c r="J408" s="446"/>
    </row>
    <row r="409" spans="10:10" ht="15" hidden="1" customHeight="1">
      <c r="J409" s="446"/>
    </row>
    <row r="410" spans="10:10" ht="15" hidden="1" customHeight="1">
      <c r="J410" s="446"/>
    </row>
    <row r="411" spans="10:10" ht="15" hidden="1" customHeight="1">
      <c r="J411" s="446"/>
    </row>
    <row r="412" spans="10:10" ht="15" hidden="1" customHeight="1">
      <c r="J412" s="446"/>
    </row>
    <row r="413" spans="10:10" ht="15" hidden="1" customHeight="1">
      <c r="J413" s="446"/>
    </row>
    <row r="414" spans="10:10" ht="15" hidden="1" customHeight="1">
      <c r="J414" s="446"/>
    </row>
    <row r="415" spans="10:10" ht="15" hidden="1" customHeight="1">
      <c r="J415" s="446"/>
    </row>
    <row r="416" spans="10:10" ht="15" hidden="1" customHeight="1">
      <c r="J416" s="446"/>
    </row>
    <row r="417" spans="10:10" ht="15" hidden="1" customHeight="1">
      <c r="J417" s="446"/>
    </row>
    <row r="418" spans="10:10" ht="15" hidden="1" customHeight="1">
      <c r="J418" s="446"/>
    </row>
    <row r="419" spans="10:10" ht="15" hidden="1" customHeight="1">
      <c r="J419" s="446"/>
    </row>
    <row r="420" spans="10:10" ht="15" hidden="1" customHeight="1">
      <c r="J420" s="446"/>
    </row>
    <row r="421" spans="10:10" ht="15" hidden="1" customHeight="1">
      <c r="J421" s="446"/>
    </row>
    <row r="422" spans="10:10" ht="15" hidden="1" customHeight="1">
      <c r="J422" s="446"/>
    </row>
    <row r="423" spans="10:10" ht="15" hidden="1" customHeight="1">
      <c r="J423" s="446"/>
    </row>
    <row r="424" spans="10:10" ht="15" hidden="1" customHeight="1">
      <c r="J424" s="446"/>
    </row>
    <row r="425" spans="10:10" ht="15" hidden="1" customHeight="1">
      <c r="J425" s="446"/>
    </row>
    <row r="426" spans="10:10" ht="15" hidden="1" customHeight="1">
      <c r="J426" s="446"/>
    </row>
    <row r="427" spans="10:10" ht="15" hidden="1" customHeight="1">
      <c r="J427" s="446"/>
    </row>
    <row r="428" spans="10:10" ht="15" hidden="1" customHeight="1">
      <c r="J428" s="446"/>
    </row>
    <row r="429" spans="10:10" ht="15" hidden="1" customHeight="1">
      <c r="J429" s="446"/>
    </row>
    <row r="430" spans="10:10" ht="15" hidden="1" customHeight="1">
      <c r="J430" s="446"/>
    </row>
    <row r="431" spans="10:10" ht="15" hidden="1" customHeight="1">
      <c r="J431" s="446"/>
    </row>
    <row r="432" spans="10:10" ht="15" hidden="1" customHeight="1">
      <c r="J432" s="446"/>
    </row>
    <row r="433" spans="10:10" ht="15" hidden="1" customHeight="1">
      <c r="J433" s="446"/>
    </row>
    <row r="434" spans="10:10" ht="15" hidden="1" customHeight="1">
      <c r="J434" s="446"/>
    </row>
    <row r="435" spans="10:10" ht="15" hidden="1" customHeight="1">
      <c r="J435" s="446"/>
    </row>
    <row r="436" spans="10:10" ht="15" hidden="1" customHeight="1">
      <c r="J436" s="446"/>
    </row>
    <row r="437" spans="10:10" ht="15" hidden="1" customHeight="1">
      <c r="J437" s="446"/>
    </row>
    <row r="438" spans="10:10" ht="15" hidden="1" customHeight="1">
      <c r="J438" s="446"/>
    </row>
    <row r="439" spans="10:10" ht="15" hidden="1" customHeight="1">
      <c r="J439" s="446"/>
    </row>
    <row r="440" spans="10:10" ht="15" hidden="1" customHeight="1">
      <c r="J440" s="446"/>
    </row>
    <row r="441" spans="10:10" ht="15" hidden="1" customHeight="1">
      <c r="J441" s="446"/>
    </row>
    <row r="442" spans="10:10" ht="15" hidden="1" customHeight="1">
      <c r="J442" s="446"/>
    </row>
    <row r="443" spans="10:10" ht="15" hidden="1" customHeight="1">
      <c r="J443" s="446"/>
    </row>
    <row r="444" spans="10:10" ht="15" hidden="1" customHeight="1">
      <c r="J444" s="446"/>
    </row>
    <row r="445" spans="10:10" ht="15" hidden="1" customHeight="1">
      <c r="J445" s="446"/>
    </row>
    <row r="446" spans="10:10" ht="15" hidden="1" customHeight="1">
      <c r="J446" s="446"/>
    </row>
    <row r="447" spans="10:10" ht="15" hidden="1" customHeight="1">
      <c r="J447" s="446"/>
    </row>
    <row r="448" spans="10:10" ht="15" hidden="1" customHeight="1">
      <c r="J448" s="446"/>
    </row>
    <row r="449" spans="10:10" ht="15" hidden="1" customHeight="1">
      <c r="J449" s="446"/>
    </row>
    <row r="450" spans="10:10" ht="15" hidden="1" customHeight="1">
      <c r="J450" s="446"/>
    </row>
    <row r="451" spans="10:10" ht="15" hidden="1" customHeight="1">
      <c r="J451" s="446"/>
    </row>
    <row r="452" spans="10:10" ht="15" hidden="1" customHeight="1">
      <c r="J452" s="446"/>
    </row>
    <row r="453" spans="10:10" ht="15" hidden="1" customHeight="1">
      <c r="J453" s="446"/>
    </row>
    <row r="454" spans="10:10" ht="15" hidden="1" customHeight="1">
      <c r="J454" s="446"/>
    </row>
    <row r="455" spans="10:10" ht="15" hidden="1" customHeight="1">
      <c r="J455" s="446"/>
    </row>
    <row r="456" spans="10:10" ht="15" hidden="1" customHeight="1">
      <c r="J456" s="446"/>
    </row>
    <row r="457" spans="10:10" ht="15" hidden="1" customHeight="1">
      <c r="J457" s="446"/>
    </row>
    <row r="458" spans="10:10" ht="15" hidden="1" customHeight="1">
      <c r="J458" s="446"/>
    </row>
    <row r="459" spans="10:10" ht="15" hidden="1" customHeight="1">
      <c r="J459" s="446"/>
    </row>
    <row r="460" spans="10:10" ht="15" hidden="1" customHeight="1">
      <c r="J460" s="446"/>
    </row>
    <row r="461" spans="10:10" ht="15" hidden="1" customHeight="1">
      <c r="J461" s="446"/>
    </row>
    <row r="462" spans="10:10" ht="15" hidden="1" customHeight="1">
      <c r="J462" s="446"/>
    </row>
    <row r="463" spans="10:10" ht="15" hidden="1" customHeight="1">
      <c r="J463" s="446"/>
    </row>
    <row r="464" spans="10:10" ht="15" hidden="1" customHeight="1">
      <c r="J464" s="446"/>
    </row>
    <row r="465" spans="10:10" ht="15" hidden="1" customHeight="1">
      <c r="J465" s="446"/>
    </row>
    <row r="466" spans="10:10" ht="15" hidden="1" customHeight="1">
      <c r="J466" s="446"/>
    </row>
    <row r="467" spans="10:10" ht="15" hidden="1" customHeight="1">
      <c r="J467" s="446"/>
    </row>
    <row r="468" spans="10:10" ht="15" hidden="1" customHeight="1">
      <c r="J468" s="446"/>
    </row>
    <row r="469" spans="10:10" ht="15" hidden="1" customHeight="1">
      <c r="J469" s="446"/>
    </row>
    <row r="470" spans="10:10" ht="15" hidden="1" customHeight="1">
      <c r="J470" s="446"/>
    </row>
    <row r="471" spans="10:10" ht="15" hidden="1" customHeight="1">
      <c r="J471" s="446"/>
    </row>
    <row r="472" spans="10:10" ht="15" hidden="1" customHeight="1">
      <c r="J472" s="446"/>
    </row>
    <row r="473" spans="10:10" ht="15" hidden="1" customHeight="1">
      <c r="J473" s="446"/>
    </row>
    <row r="474" spans="10:10" ht="15" hidden="1" customHeight="1">
      <c r="J474" s="446"/>
    </row>
    <row r="475" spans="10:10" ht="15" hidden="1" customHeight="1">
      <c r="J475" s="446"/>
    </row>
    <row r="476" spans="10:10" ht="15" hidden="1" customHeight="1">
      <c r="J476" s="446"/>
    </row>
    <row r="477" spans="10:10" ht="15" hidden="1" customHeight="1">
      <c r="J477" s="446"/>
    </row>
    <row r="478" spans="10:10" ht="15" hidden="1" customHeight="1">
      <c r="J478" s="446"/>
    </row>
    <row r="479" spans="10:10" ht="15" hidden="1" customHeight="1">
      <c r="J479" s="446"/>
    </row>
    <row r="480" spans="10:10" ht="15" hidden="1" customHeight="1">
      <c r="J480" s="446"/>
    </row>
    <row r="481" spans="10:10" ht="15" hidden="1" customHeight="1">
      <c r="J481" s="446"/>
    </row>
    <row r="482" spans="10:10" ht="15" hidden="1" customHeight="1">
      <c r="J482" s="446"/>
    </row>
    <row r="483" spans="10:10" ht="15" hidden="1" customHeight="1">
      <c r="J483" s="446"/>
    </row>
    <row r="484" spans="10:10" ht="15" hidden="1" customHeight="1">
      <c r="J484" s="446"/>
    </row>
    <row r="485" spans="10:10" ht="15" hidden="1" customHeight="1">
      <c r="J485" s="446"/>
    </row>
    <row r="486" spans="10:10" ht="15" hidden="1" customHeight="1">
      <c r="J486" s="446"/>
    </row>
    <row r="487" spans="10:10" ht="15" hidden="1" customHeight="1">
      <c r="J487" s="446"/>
    </row>
    <row r="488" spans="10:10" ht="15" hidden="1" customHeight="1">
      <c r="J488" s="446"/>
    </row>
    <row r="489" spans="10:10" ht="15" hidden="1" customHeight="1">
      <c r="J489" s="446"/>
    </row>
    <row r="490" spans="10:10" ht="15" hidden="1" customHeight="1">
      <c r="J490" s="446"/>
    </row>
    <row r="491" spans="10:10" ht="15" hidden="1" customHeight="1">
      <c r="J491" s="446"/>
    </row>
    <row r="492" spans="10:10" ht="15" hidden="1" customHeight="1">
      <c r="J492" s="446"/>
    </row>
    <row r="493" spans="10:10" ht="15" hidden="1" customHeight="1">
      <c r="J493" s="446"/>
    </row>
    <row r="494" spans="10:10" ht="15" hidden="1" customHeight="1">
      <c r="J494" s="446"/>
    </row>
    <row r="495" spans="10:10" ht="15" hidden="1" customHeight="1">
      <c r="J495" s="446"/>
    </row>
    <row r="496" spans="10:10" ht="15" hidden="1" customHeight="1">
      <c r="J496" s="446"/>
    </row>
    <row r="497" spans="10:10" ht="15" hidden="1" customHeight="1">
      <c r="J497" s="446"/>
    </row>
    <row r="498" spans="10:10" ht="15" hidden="1" customHeight="1">
      <c r="J498" s="446"/>
    </row>
    <row r="499" spans="10:10" ht="15" hidden="1" customHeight="1">
      <c r="J499" s="446"/>
    </row>
    <row r="500" spans="10:10" ht="15" hidden="1" customHeight="1">
      <c r="J500" s="446"/>
    </row>
    <row r="501" spans="10:10" ht="15" hidden="1" customHeight="1">
      <c r="J501" s="446"/>
    </row>
    <row r="502" spans="10:10" ht="15" hidden="1" customHeight="1">
      <c r="J502" s="446"/>
    </row>
    <row r="503" spans="10:10" ht="15" hidden="1" customHeight="1">
      <c r="J503" s="446"/>
    </row>
    <row r="504" spans="10:10" ht="15" hidden="1" customHeight="1">
      <c r="J504" s="446"/>
    </row>
    <row r="505" spans="10:10" ht="15" hidden="1" customHeight="1">
      <c r="J505" s="446"/>
    </row>
    <row r="506" spans="10:10" ht="15" hidden="1" customHeight="1">
      <c r="J506" s="446"/>
    </row>
    <row r="507" spans="10:10" ht="15" hidden="1" customHeight="1">
      <c r="J507" s="446"/>
    </row>
    <row r="508" spans="10:10" ht="15" hidden="1" customHeight="1">
      <c r="J508" s="446"/>
    </row>
    <row r="509" spans="10:10" ht="15" hidden="1" customHeight="1">
      <c r="J509" s="446"/>
    </row>
    <row r="510" spans="10:10" ht="15" hidden="1" customHeight="1">
      <c r="J510" s="446"/>
    </row>
    <row r="511" spans="10:10" ht="15" hidden="1" customHeight="1">
      <c r="J511" s="446"/>
    </row>
    <row r="512" spans="10:10" ht="15" hidden="1" customHeight="1">
      <c r="J512" s="446"/>
    </row>
    <row r="513" spans="10:10" ht="15" hidden="1" customHeight="1">
      <c r="J513" s="446"/>
    </row>
    <row r="514" spans="10:10" ht="15" hidden="1" customHeight="1">
      <c r="J514" s="446"/>
    </row>
    <row r="515" spans="10:10" ht="15" hidden="1" customHeight="1">
      <c r="J515" s="446"/>
    </row>
    <row r="516" spans="10:10" ht="15" hidden="1" customHeight="1">
      <c r="J516" s="446"/>
    </row>
    <row r="517" spans="10:10" ht="15" hidden="1" customHeight="1">
      <c r="J517" s="446"/>
    </row>
    <row r="518" spans="10:10" ht="15" hidden="1" customHeight="1">
      <c r="J518" s="446"/>
    </row>
    <row r="519" spans="10:10" ht="15" hidden="1" customHeight="1">
      <c r="J519" s="446"/>
    </row>
    <row r="520" spans="10:10" ht="15" hidden="1" customHeight="1">
      <c r="J520" s="446"/>
    </row>
    <row r="521" spans="10:10" ht="15" hidden="1" customHeight="1">
      <c r="J521" s="446"/>
    </row>
    <row r="522" spans="10:10" ht="15" hidden="1" customHeight="1">
      <c r="J522" s="446"/>
    </row>
    <row r="523" spans="10:10" ht="15" hidden="1" customHeight="1">
      <c r="J523" s="446"/>
    </row>
    <row r="524" spans="10:10" ht="15" hidden="1" customHeight="1">
      <c r="J524" s="446"/>
    </row>
    <row r="525" spans="10:10" ht="15" hidden="1" customHeight="1">
      <c r="J525" s="446"/>
    </row>
    <row r="526" spans="10:10" ht="15" hidden="1" customHeight="1">
      <c r="J526" s="446"/>
    </row>
    <row r="527" spans="10:10" ht="15" hidden="1" customHeight="1">
      <c r="J527" s="446"/>
    </row>
    <row r="528" spans="10:10" ht="15" hidden="1" customHeight="1">
      <c r="J528" s="446"/>
    </row>
    <row r="529" spans="10:10" ht="15" hidden="1" customHeight="1">
      <c r="J529" s="446"/>
    </row>
    <row r="530" spans="10:10" ht="15" hidden="1" customHeight="1">
      <c r="J530" s="446"/>
    </row>
    <row r="531" spans="10:10" ht="15" hidden="1" customHeight="1">
      <c r="J531" s="446"/>
    </row>
    <row r="532" spans="10:10" ht="15" hidden="1" customHeight="1">
      <c r="J532" s="446"/>
    </row>
    <row r="533" spans="10:10" ht="15" hidden="1" customHeight="1">
      <c r="J533" s="446"/>
    </row>
    <row r="534" spans="10:10" ht="15" hidden="1" customHeight="1">
      <c r="J534" s="446"/>
    </row>
    <row r="535" spans="10:10" ht="15" hidden="1" customHeight="1">
      <c r="J535" s="446"/>
    </row>
    <row r="536" spans="10:10" ht="15" hidden="1" customHeight="1">
      <c r="J536" s="446"/>
    </row>
    <row r="537" spans="10:10" ht="15" hidden="1" customHeight="1">
      <c r="J537" s="446"/>
    </row>
    <row r="538" spans="10:10" ht="15" hidden="1" customHeight="1">
      <c r="J538" s="446"/>
    </row>
    <row r="539" spans="10:10" ht="15" hidden="1" customHeight="1">
      <c r="J539" s="446"/>
    </row>
    <row r="540" spans="10:10" ht="15" hidden="1" customHeight="1">
      <c r="J540" s="446"/>
    </row>
    <row r="541" spans="10:10" ht="15" hidden="1" customHeight="1">
      <c r="J541" s="446"/>
    </row>
    <row r="542" spans="10:10" ht="15" hidden="1" customHeight="1">
      <c r="J542" s="446"/>
    </row>
    <row r="543" spans="10:10" ht="15" hidden="1" customHeight="1">
      <c r="J543" s="446"/>
    </row>
    <row r="544" spans="10:10" ht="15" hidden="1" customHeight="1">
      <c r="J544" s="446"/>
    </row>
    <row r="545" spans="10:10" ht="15" hidden="1" customHeight="1">
      <c r="J545" s="446"/>
    </row>
    <row r="546" spans="10:10" ht="15" hidden="1" customHeight="1">
      <c r="J546" s="446"/>
    </row>
    <row r="547" spans="10:10" ht="15" hidden="1" customHeight="1">
      <c r="J547" s="446"/>
    </row>
    <row r="548" spans="10:10" ht="15" hidden="1" customHeight="1">
      <c r="J548" s="446"/>
    </row>
    <row r="549" spans="10:10" ht="15" hidden="1" customHeight="1">
      <c r="J549" s="446"/>
    </row>
    <row r="550" spans="10:10" ht="15" hidden="1" customHeight="1">
      <c r="J550" s="446"/>
    </row>
    <row r="551" spans="10:10" ht="15" hidden="1" customHeight="1">
      <c r="J551" s="446"/>
    </row>
    <row r="552" spans="10:10" ht="15" hidden="1" customHeight="1">
      <c r="J552" s="446"/>
    </row>
    <row r="553" spans="10:10" ht="15" hidden="1" customHeight="1">
      <c r="J553" s="446"/>
    </row>
    <row r="554" spans="10:10" ht="15" hidden="1" customHeight="1">
      <c r="J554" s="446"/>
    </row>
    <row r="555" spans="10:10" ht="15" hidden="1" customHeight="1">
      <c r="J555" s="446"/>
    </row>
    <row r="556" spans="10:10" ht="15" hidden="1" customHeight="1">
      <c r="J556" s="446"/>
    </row>
    <row r="557" spans="10:10" ht="15" hidden="1" customHeight="1">
      <c r="J557" s="446"/>
    </row>
    <row r="558" spans="10:10" ht="15" hidden="1" customHeight="1">
      <c r="J558" s="446"/>
    </row>
    <row r="559" spans="10:10" ht="15" hidden="1" customHeight="1">
      <c r="J559" s="446"/>
    </row>
    <row r="560" spans="10:10" ht="15" hidden="1" customHeight="1">
      <c r="J560" s="446"/>
    </row>
    <row r="561" spans="10:10" ht="15" hidden="1" customHeight="1">
      <c r="J561" s="446"/>
    </row>
    <row r="562" spans="10:10" ht="15" hidden="1" customHeight="1">
      <c r="J562" s="446"/>
    </row>
    <row r="563" spans="10:10" ht="15" hidden="1" customHeight="1">
      <c r="J563" s="446"/>
    </row>
    <row r="564" spans="10:10" ht="15" hidden="1" customHeight="1">
      <c r="J564" s="446"/>
    </row>
    <row r="565" spans="10:10" ht="15" hidden="1" customHeight="1">
      <c r="J565" s="446"/>
    </row>
    <row r="566" spans="10:10" ht="15" hidden="1" customHeight="1">
      <c r="J566" s="446"/>
    </row>
    <row r="567" spans="10:10" ht="15" hidden="1" customHeight="1">
      <c r="J567" s="446"/>
    </row>
    <row r="568" spans="10:10" ht="15" hidden="1" customHeight="1">
      <c r="J568" s="446"/>
    </row>
    <row r="569" spans="10:10" ht="15" hidden="1" customHeight="1">
      <c r="J569" s="446"/>
    </row>
    <row r="570" spans="10:10" ht="15" hidden="1" customHeight="1">
      <c r="J570" s="446"/>
    </row>
    <row r="571" spans="10:10" ht="15" hidden="1" customHeight="1">
      <c r="J571" s="446"/>
    </row>
    <row r="572" spans="10:10" ht="15" hidden="1" customHeight="1">
      <c r="J572" s="446"/>
    </row>
    <row r="573" spans="10:10" ht="15" hidden="1" customHeight="1">
      <c r="J573" s="446"/>
    </row>
    <row r="574" spans="10:10" ht="15" hidden="1" customHeight="1">
      <c r="J574" s="446"/>
    </row>
    <row r="575" spans="10:10" ht="15" hidden="1" customHeight="1">
      <c r="J575" s="446"/>
    </row>
    <row r="576" spans="10:10" ht="15" hidden="1" customHeight="1">
      <c r="J576" s="446"/>
    </row>
    <row r="577" spans="10:10" ht="15" hidden="1" customHeight="1">
      <c r="J577" s="446"/>
    </row>
    <row r="578" spans="10:10" ht="15" hidden="1" customHeight="1">
      <c r="J578" s="446"/>
    </row>
    <row r="579" spans="10:10" ht="15" hidden="1" customHeight="1">
      <c r="J579" s="446"/>
    </row>
    <row r="580" spans="10:10" ht="15" hidden="1" customHeight="1">
      <c r="J580" s="446"/>
    </row>
    <row r="581" spans="10:10" ht="15" hidden="1" customHeight="1">
      <c r="J581" s="446"/>
    </row>
    <row r="582" spans="10:10" ht="15" hidden="1" customHeight="1">
      <c r="J582" s="446"/>
    </row>
    <row r="583" spans="10:10" ht="15" hidden="1" customHeight="1">
      <c r="J583" s="446"/>
    </row>
    <row r="584" spans="10:10" ht="15" hidden="1" customHeight="1">
      <c r="J584" s="446"/>
    </row>
    <row r="585" spans="10:10" ht="15" hidden="1" customHeight="1">
      <c r="J585" s="446"/>
    </row>
    <row r="586" spans="10:10" ht="15" hidden="1" customHeight="1">
      <c r="J586" s="446"/>
    </row>
    <row r="587" spans="10:10" ht="15" hidden="1" customHeight="1">
      <c r="J587" s="446"/>
    </row>
    <row r="588" spans="10:10" ht="15" customHeight="1"/>
    <row r="589" spans="10:10" ht="15" customHeight="1"/>
    <row r="590" spans="10:10" ht="15" customHeight="1"/>
    <row r="591" spans="10:10" ht="15" customHeight="1"/>
    <row r="592" spans="10:10" ht="15" customHeight="1"/>
    <row r="593" ht="15" customHeight="1"/>
  </sheetData>
  <sheetProtection algorithmName="SHA-512" hashValue="afFt4iB8/ABa/IisydZm8NKhZzSwv3n8KLq6dfpmFsIoTuQHUqmwXXjQuonLIAPy+vllcyFelizFFTR/ULpCIQ==" saltValue="FbqdUaHvCczuG/rNMLNZQg==" spinCount="100000" sheet="1" formatRows="0" insertRows="0"/>
  <mergeCells count="208">
    <mergeCell ref="G235:H235"/>
    <mergeCell ref="G236:H236"/>
    <mergeCell ref="G237:H237"/>
    <mergeCell ref="E235:F235"/>
    <mergeCell ref="E236:F236"/>
    <mergeCell ref="E237:F237"/>
    <mergeCell ref="C43:D43"/>
    <mergeCell ref="C44:D44"/>
    <mergeCell ref="C46:D46"/>
    <mergeCell ref="C47:D47"/>
    <mergeCell ref="C48:D48"/>
    <mergeCell ref="C85:H85"/>
    <mergeCell ref="E137:G137"/>
    <mergeCell ref="E138:G138"/>
    <mergeCell ref="C153:I153"/>
    <mergeCell ref="C152:I152"/>
    <mergeCell ref="C149:I149"/>
    <mergeCell ref="D123:I123"/>
    <mergeCell ref="C148:I148"/>
    <mergeCell ref="C110:I110"/>
    <mergeCell ref="C102:I102"/>
    <mergeCell ref="C103:I103"/>
    <mergeCell ref="C126:I126"/>
    <mergeCell ref="C133:I133"/>
    <mergeCell ref="C125:I125"/>
    <mergeCell ref="E136:G136"/>
    <mergeCell ref="E139:G139"/>
    <mergeCell ref="H141:I141"/>
    <mergeCell ref="D19:E19"/>
    <mergeCell ref="C12:I12"/>
    <mergeCell ref="D16:I16"/>
    <mergeCell ref="H17:I17"/>
    <mergeCell ref="F17:G17"/>
    <mergeCell ref="D17:E17"/>
    <mergeCell ref="D18:E18"/>
    <mergeCell ref="F18:G18"/>
    <mergeCell ref="F19:G19"/>
    <mergeCell ref="H18:I18"/>
    <mergeCell ref="H19:I19"/>
    <mergeCell ref="C54:D54"/>
    <mergeCell ref="C55:D55"/>
    <mergeCell ref="C56:D56"/>
    <mergeCell ref="C57:D57"/>
    <mergeCell ref="C40:D40"/>
    <mergeCell ref="C41:D41"/>
    <mergeCell ref="C42:D42"/>
    <mergeCell ref="D98:I98"/>
    <mergeCell ref="F113:G113"/>
    <mergeCell ref="D146:I146"/>
    <mergeCell ref="D144:I144"/>
    <mergeCell ref="D145:I145"/>
    <mergeCell ref="C172:I172"/>
    <mergeCell ref="C150:I150"/>
    <mergeCell ref="C162:D162"/>
    <mergeCell ref="F165:G165"/>
    <mergeCell ref="F167:G167"/>
    <mergeCell ref="H162:I162"/>
    <mergeCell ref="H163:I163"/>
    <mergeCell ref="H164:I164"/>
    <mergeCell ref="H165:I165"/>
    <mergeCell ref="H167:I167"/>
    <mergeCell ref="F166:G166"/>
    <mergeCell ref="H166:I166"/>
    <mergeCell ref="F114:G114"/>
    <mergeCell ref="F115:G115"/>
    <mergeCell ref="F116:G116"/>
    <mergeCell ref="F117:G117"/>
    <mergeCell ref="F118:G118"/>
    <mergeCell ref="C104:I104"/>
    <mergeCell ref="C127:I127"/>
    <mergeCell ref="B2:J2"/>
    <mergeCell ref="H26:I26"/>
    <mergeCell ref="H108:I108"/>
    <mergeCell ref="H72:I72"/>
    <mergeCell ref="C52:D52"/>
    <mergeCell ref="C53:D53"/>
    <mergeCell ref="D62:I62"/>
    <mergeCell ref="D122:I122"/>
    <mergeCell ref="F119:G119"/>
    <mergeCell ref="D100:I100"/>
    <mergeCell ref="D99:I99"/>
    <mergeCell ref="D60:I60"/>
    <mergeCell ref="D61:I61"/>
    <mergeCell ref="D63:I63"/>
    <mergeCell ref="C66:I66"/>
    <mergeCell ref="D64:I64"/>
    <mergeCell ref="C67:I67"/>
    <mergeCell ref="H131:I131"/>
    <mergeCell ref="H157:I157"/>
    <mergeCell ref="H178:I178"/>
    <mergeCell ref="H265:I265"/>
    <mergeCell ref="C131:G131"/>
    <mergeCell ref="C5:I5"/>
    <mergeCell ref="C21:I21"/>
    <mergeCell ref="C14:H14"/>
    <mergeCell ref="C7:I7"/>
    <mergeCell ref="C22:I22"/>
    <mergeCell ref="C9:I9"/>
    <mergeCell ref="C28:I28"/>
    <mergeCell ref="C187:E187"/>
    <mergeCell ref="C35:D35"/>
    <mergeCell ref="C36:D36"/>
    <mergeCell ref="C37:D37"/>
    <mergeCell ref="C38:D38"/>
    <mergeCell ref="C39:D39"/>
    <mergeCell ref="C10:I10"/>
    <mergeCell ref="H31:I31"/>
    <mergeCell ref="C33:D33"/>
    <mergeCell ref="C34:D34"/>
    <mergeCell ref="C50:D50"/>
    <mergeCell ref="C51:D51"/>
    <mergeCell ref="C68:I68"/>
    <mergeCell ref="C74:I74"/>
    <mergeCell ref="H80:I80"/>
    <mergeCell ref="C87:H87"/>
    <mergeCell ref="C83:I83"/>
    <mergeCell ref="C86:H86"/>
    <mergeCell ref="C49:D49"/>
    <mergeCell ref="C204:I204"/>
    <mergeCell ref="C199:I199"/>
    <mergeCell ref="G188:H188"/>
    <mergeCell ref="G189:H189"/>
    <mergeCell ref="C188:E188"/>
    <mergeCell ref="C189:E189"/>
    <mergeCell ref="C190:E190"/>
    <mergeCell ref="C191:E191"/>
    <mergeCell ref="G187:H187"/>
    <mergeCell ref="C201:I201"/>
    <mergeCell ref="G190:H190"/>
    <mergeCell ref="G182:H182"/>
    <mergeCell ref="C159:I159"/>
    <mergeCell ref="C180:I180"/>
    <mergeCell ref="C163:D163"/>
    <mergeCell ref="C164:D164"/>
    <mergeCell ref="D197:I197"/>
    <mergeCell ref="G183:H183"/>
    <mergeCell ref="G184:H184"/>
    <mergeCell ref="D195:I195"/>
    <mergeCell ref="D194:I194"/>
    <mergeCell ref="G186:I186"/>
    <mergeCell ref="C186:F186"/>
    <mergeCell ref="F162:G162"/>
    <mergeCell ref="F163:G163"/>
    <mergeCell ref="F164:G164"/>
    <mergeCell ref="D170:I170"/>
    <mergeCell ref="C173:I173"/>
    <mergeCell ref="C174:I174"/>
    <mergeCell ref="C248:I248"/>
    <mergeCell ref="C292:I292"/>
    <mergeCell ref="H258:I258"/>
    <mergeCell ref="H242:I242"/>
    <mergeCell ref="C234:I234"/>
    <mergeCell ref="C235:D235"/>
    <mergeCell ref="C236:D236"/>
    <mergeCell ref="C237:D237"/>
    <mergeCell ref="D213:F213"/>
    <mergeCell ref="D214:F214"/>
    <mergeCell ref="D215:F215"/>
    <mergeCell ref="H218:I218"/>
    <mergeCell ref="H228:I228"/>
    <mergeCell ref="C224:I224"/>
    <mergeCell ref="H225:I225"/>
    <mergeCell ref="H226:I226"/>
    <mergeCell ref="C225:G225"/>
    <mergeCell ref="C226:G226"/>
    <mergeCell ref="C239:G239"/>
    <mergeCell ref="H239:I239"/>
    <mergeCell ref="C240:G240"/>
    <mergeCell ref="H240:I240"/>
    <mergeCell ref="C253:D253"/>
    <mergeCell ref="C254:D254"/>
    <mergeCell ref="D210:F210"/>
    <mergeCell ref="D211:F211"/>
    <mergeCell ref="D212:F212"/>
    <mergeCell ref="D196:I196"/>
    <mergeCell ref="C250:D250"/>
    <mergeCell ref="C251:D251"/>
    <mergeCell ref="C252:D252"/>
    <mergeCell ref="C293:I293"/>
    <mergeCell ref="C294:I294"/>
    <mergeCell ref="D288:I288"/>
    <mergeCell ref="D289:I289"/>
    <mergeCell ref="D290:I290"/>
    <mergeCell ref="E282:F282"/>
    <mergeCell ref="E277:F277"/>
    <mergeCell ref="E278:F278"/>
    <mergeCell ref="E283:F283"/>
    <mergeCell ref="E285:F285"/>
    <mergeCell ref="G277:H277"/>
    <mergeCell ref="G278:H278"/>
    <mergeCell ref="G282:H282"/>
    <mergeCell ref="G283:H283"/>
    <mergeCell ref="G285:H285"/>
    <mergeCell ref="C285:D285"/>
    <mergeCell ref="C266:I266"/>
    <mergeCell ref="C255:D255"/>
    <mergeCell ref="H250:I250"/>
    <mergeCell ref="E250:G250"/>
    <mergeCell ref="E251:G251"/>
    <mergeCell ref="E252:G252"/>
    <mergeCell ref="E253:G253"/>
    <mergeCell ref="E254:G254"/>
    <mergeCell ref="E255:G255"/>
    <mergeCell ref="H251:I251"/>
    <mergeCell ref="H252:I252"/>
    <mergeCell ref="H253:I253"/>
    <mergeCell ref="H254:I254"/>
    <mergeCell ref="H255:I255"/>
  </mergeCells>
  <conditionalFormatting sqref="C285:H285">
    <cfRule type="expression" dxfId="154" priority="180">
      <formula>OR($H$272="No",ISBLANK($H$272))</formula>
    </cfRule>
  </conditionalFormatting>
  <conditionalFormatting sqref="C26:I68">
    <cfRule type="expression" dxfId="153" priority="78">
      <formula>OR($I$24="No",ISBLANK($I$24))</formula>
    </cfRule>
  </conditionalFormatting>
  <conditionalFormatting sqref="C72:I104">
    <cfRule type="expression" dxfId="152" priority="351">
      <formula>OR($I$70="No",ISBLANK($I$70))</formula>
    </cfRule>
  </conditionalFormatting>
  <conditionalFormatting sqref="C86:I86 C94 E94:I95 C99:D99">
    <cfRule type="expression" dxfId="151" priority="350">
      <formula>OR($H$78="No",ISBLANK($H$78))</formula>
    </cfRule>
  </conditionalFormatting>
  <conditionalFormatting sqref="C108:I127">
    <cfRule type="expression" dxfId="150" priority="227">
      <formula>OR($I$106="No",ISBLANK($I$106))</formula>
    </cfRule>
  </conditionalFormatting>
  <conditionalFormatting sqref="C131:I150">
    <cfRule type="expression" dxfId="149" priority="303">
      <formula>OR($I$129="No",ISBLANK($I$129))</formula>
    </cfRule>
  </conditionalFormatting>
  <conditionalFormatting sqref="C144:I144">
    <cfRule type="expression" dxfId="148" priority="1842">
      <formula>OR(AND(ISBLANK($H$137),ISBLANK($H$139)),AND($H$137="No",ISBLANK($H$139)),AND($H$139="No",ISBLANK($H$137)),AND($H$137="No",$H$139="No"))</formula>
    </cfRule>
  </conditionalFormatting>
  <conditionalFormatting sqref="C145:I145">
    <cfRule type="expression" dxfId="147" priority="1843">
      <formula>OR($H$138="No",ISBLANK($H$138))</formula>
    </cfRule>
  </conditionalFormatting>
  <conditionalFormatting sqref="C157:I174">
    <cfRule type="expression" dxfId="146" priority="360">
      <formula>OR($I$155="No",ISBLANK($I$155))</formula>
    </cfRule>
  </conditionalFormatting>
  <conditionalFormatting sqref="C178:I261">
    <cfRule type="expression" dxfId="145" priority="26">
      <formula>OR($I$176="No",ISBLANK($I$176))</formula>
    </cfRule>
  </conditionalFormatting>
  <conditionalFormatting sqref="C203:I246">
    <cfRule type="expression" dxfId="144" priority="27">
      <formula>OR($G$183="No",ISBLANK($G$183))</formula>
    </cfRule>
  </conditionalFormatting>
  <conditionalFormatting sqref="C209:I221">
    <cfRule type="expression" dxfId="143" priority="233">
      <formula>$J$210</formula>
    </cfRule>
  </conditionalFormatting>
  <conditionalFormatting sqref="C212:I212">
    <cfRule type="expression" dxfId="142" priority="1">
      <formula>OR($I$176="No",ISBLANK($I$176))</formula>
    </cfRule>
    <cfRule type="expression" dxfId="141" priority="2">
      <formula>OR($G$183="No",ISBLANK($G$183))</formula>
    </cfRule>
    <cfRule type="expression" dxfId="140" priority="3">
      <formula>$J$212</formula>
    </cfRule>
  </conditionalFormatting>
  <conditionalFormatting sqref="C247:I261">
    <cfRule type="expression" dxfId="137" priority="41">
      <formula>OR($G$184="No",ISBLANK($G$184))</formula>
    </cfRule>
  </conditionalFormatting>
  <conditionalFormatting sqref="C265:I294">
    <cfRule type="expression" dxfId="136" priority="181">
      <formula>OR($I$263="No",ISBLANK($I$263))</formula>
    </cfRule>
  </conditionalFormatting>
  <conditionalFormatting sqref="C275:I278">
    <cfRule type="expression" dxfId="135" priority="309">
      <formula>OR($H$269="No",ISBLANK($H$269))</formula>
    </cfRule>
  </conditionalFormatting>
  <conditionalFormatting sqref="E37:E38">
    <cfRule type="expression" dxfId="134" priority="103">
      <formula>$E$36="Other"</formula>
    </cfRule>
  </conditionalFormatting>
  <conditionalFormatting sqref="E39:E43 E36">
    <cfRule type="expression" dxfId="133" priority="215">
      <formula>$E$35="Yes"</formula>
    </cfRule>
  </conditionalFormatting>
  <conditionalFormatting sqref="E44">
    <cfRule type="expression" dxfId="130" priority="130">
      <formula>$E$35="Yes"</formula>
    </cfRule>
  </conditionalFormatting>
  <conditionalFormatting sqref="E50:E51">
    <cfRule type="expression" dxfId="129" priority="98">
      <formula>$E$49="Other"</formula>
    </cfRule>
  </conditionalFormatting>
  <conditionalFormatting sqref="E52:E56 E49">
    <cfRule type="expression" dxfId="128" priority="118">
      <formula>$E$48="Yes"</formula>
    </cfRule>
  </conditionalFormatting>
  <conditionalFormatting sqref="E57">
    <cfRule type="expression" dxfId="125" priority="113">
      <formula>$E$48="Yes"</formula>
    </cfRule>
  </conditionalFormatting>
  <conditionalFormatting sqref="F37:F38">
    <cfRule type="expression" dxfId="124" priority="104">
      <formula>$F$36="Other"</formula>
    </cfRule>
  </conditionalFormatting>
  <conditionalFormatting sqref="F39:F43 F36">
    <cfRule type="expression" dxfId="123" priority="135">
      <formula>$F$35="Yes"</formula>
    </cfRule>
  </conditionalFormatting>
  <conditionalFormatting sqref="F44">
    <cfRule type="expression" dxfId="120" priority="131">
      <formula>$F$35="Yes"</formula>
    </cfRule>
  </conditionalFormatting>
  <conditionalFormatting sqref="F50:F51">
    <cfRule type="expression" dxfId="119" priority="99">
      <formula>$F$49="Other"</formula>
    </cfRule>
  </conditionalFormatting>
  <conditionalFormatting sqref="F52:F56 F49">
    <cfRule type="expression" dxfId="118" priority="119">
      <formula>$F$48="Yes"</formula>
    </cfRule>
  </conditionalFormatting>
  <conditionalFormatting sqref="F57">
    <cfRule type="expression" dxfId="115" priority="114">
      <formula>$F$48="Yes"</formula>
    </cfRule>
  </conditionalFormatting>
  <conditionalFormatting sqref="G37:G38">
    <cfRule type="expression" dxfId="113" priority="105">
      <formula>$G$36="Other"</formula>
    </cfRule>
  </conditionalFormatting>
  <conditionalFormatting sqref="G39:G43 G36">
    <cfRule type="expression" dxfId="112" priority="136">
      <formula>$G$35="Yes"</formula>
    </cfRule>
  </conditionalFormatting>
  <conditionalFormatting sqref="G44">
    <cfRule type="expression" dxfId="109" priority="132">
      <formula>$G$35="Yes"</formula>
    </cfRule>
  </conditionalFormatting>
  <conditionalFormatting sqref="G50:G51">
    <cfRule type="expression" dxfId="108" priority="100">
      <formula>$G$49="Other"</formula>
    </cfRule>
  </conditionalFormatting>
  <conditionalFormatting sqref="G52:G56 G49">
    <cfRule type="expression" dxfId="107" priority="120">
      <formula>$G$48="Yes"</formula>
    </cfRule>
  </conditionalFormatting>
  <conditionalFormatting sqref="G57">
    <cfRule type="expression" dxfId="104" priority="115">
      <formula>$G$48="Yes"</formula>
    </cfRule>
  </conditionalFormatting>
  <conditionalFormatting sqref="G272:H272 C280:I285">
    <cfRule type="expression" dxfId="103" priority="308">
      <formula>OR($H$270="No",ISBLANK($H$270))</formula>
    </cfRule>
  </conditionalFormatting>
  <conditionalFormatting sqref="H37:H38">
    <cfRule type="expression" dxfId="102" priority="106">
      <formula>$H$36="Other"</formula>
    </cfRule>
  </conditionalFormatting>
  <conditionalFormatting sqref="H39:H43 H36">
    <cfRule type="expression" dxfId="101" priority="137">
      <formula>$H$35="Yes"</formula>
    </cfRule>
  </conditionalFormatting>
  <conditionalFormatting sqref="H44">
    <cfRule type="expression" dxfId="98" priority="133">
      <formula>$H$35="Yes"</formula>
    </cfRule>
  </conditionalFormatting>
  <conditionalFormatting sqref="H50:H51">
    <cfRule type="expression" dxfId="97" priority="101">
      <formula>$H$49="Other"</formula>
    </cfRule>
  </conditionalFormatting>
  <conditionalFormatting sqref="H52:H56 H49">
    <cfRule type="expression" dxfId="96" priority="121">
      <formula>$H$48="Yes"</formula>
    </cfRule>
  </conditionalFormatting>
  <conditionalFormatting sqref="H57">
    <cfRule type="expression" dxfId="93" priority="116">
      <formula>$H$48="Yes"</formula>
    </cfRule>
  </conditionalFormatting>
  <conditionalFormatting sqref="H245:I245">
    <cfRule type="cellIs" dxfId="85" priority="256" operator="equal">
      <formula>"Yes"</formula>
    </cfRule>
    <cfRule type="cellIs" dxfId="84" priority="257" operator="equal">
      <formula>"No"</formula>
    </cfRule>
  </conditionalFormatting>
  <conditionalFormatting sqref="I37:I38">
    <cfRule type="expression" dxfId="82" priority="107">
      <formula>$I$36="Other"</formula>
    </cfRule>
  </conditionalFormatting>
  <conditionalFormatting sqref="I39:I43 I36">
    <cfRule type="expression" dxfId="81" priority="170">
      <formula>$I$35="Yes"</formula>
    </cfRule>
  </conditionalFormatting>
  <conditionalFormatting sqref="I44">
    <cfRule type="expression" dxfId="78" priority="134">
      <formula>$I$35="Yes"</formula>
    </cfRule>
  </conditionalFormatting>
  <conditionalFormatting sqref="I50:I51">
    <cfRule type="expression" dxfId="77" priority="102">
      <formula>$I$49="Other"</formula>
    </cfRule>
  </conditionalFormatting>
  <conditionalFormatting sqref="I52:I56 I49">
    <cfRule type="expression" dxfId="76" priority="123">
      <formula>$I$48="Yes"</formula>
    </cfRule>
  </conditionalFormatting>
  <conditionalFormatting sqref="I57">
    <cfRule type="expression" dxfId="73" priority="117">
      <formula>$I$48="Yes"</formula>
    </cfRule>
  </conditionalFormatting>
  <conditionalFormatting sqref="I216">
    <cfRule type="expression" dxfId="72" priority="6">
      <formula>$J$210</formula>
    </cfRule>
    <cfRule type="expression" dxfId="71" priority="5">
      <formula>OR($G$183="No",ISBLANK($G$183))</formula>
    </cfRule>
    <cfRule type="expression" dxfId="70" priority="4">
      <formula>OR($I$176="No",ISBLANK($I$176))</formula>
    </cfRule>
  </conditionalFormatting>
  <conditionalFormatting sqref="I219">
    <cfRule type="expression" dxfId="69" priority="9">
      <formula>$J$210</formula>
    </cfRule>
    <cfRule type="expression" dxfId="68" priority="8">
      <formula>OR($G$183="No",ISBLANK($G$183))</formula>
    </cfRule>
    <cfRule type="expression" dxfId="67" priority="7">
      <formula>OR($I$176="No",ISBLANK($I$176))</formula>
    </cfRule>
  </conditionalFormatting>
  <conditionalFormatting sqref="I221">
    <cfRule type="cellIs" dxfId="66" priority="259" operator="equal">
      <formula>"No"</formula>
    </cfRule>
    <cfRule type="cellIs" dxfId="65" priority="1867" operator="equal">
      <formula>"Yes"</formula>
    </cfRule>
  </conditionalFormatting>
  <conditionalFormatting sqref="I231">
    <cfRule type="cellIs" dxfId="64" priority="63" operator="equal">
      <formula>"No"</formula>
    </cfRule>
    <cfRule type="cellIs" dxfId="63" priority="62" operator="equal">
      <formula>"Yes"</formula>
    </cfRule>
  </conditionalFormatting>
  <conditionalFormatting sqref="I273">
    <cfRule type="expression" dxfId="62" priority="331">
      <formula>AND($H$269="Yes",$H$270="Yes")</formula>
    </cfRule>
  </conditionalFormatting>
  <dataValidations count="1">
    <dataValidation type="list" allowBlank="1" showInputMessage="1" showErrorMessage="1" sqref="I70 H77:H78 I129 I106 I263 H137:H139 G183:G184 E51:I51 I176 I155 H193 H287 H294 H291 I24 H269:H270 H272 E38:I38 H195 H197:H202" xr:uid="{774F887F-5DD7-4F6D-951A-7DEB84342F2D}">
      <formula1>INDIRECT("scope")</formula1>
    </dataValidation>
  </dataValidations>
  <pageMargins left="0.25" right="0.25" top="0.75" bottom="0.75" header="0.3" footer="0.3"/>
  <pageSetup orientation="portrait" r:id="rId1"/>
  <rowBreaks count="11" manualBreakCount="11">
    <brk id="23" min="1" max="9" man="1"/>
    <brk id="45" min="1" max="9" man="1"/>
    <brk id="69" min="1" max="9" man="1"/>
    <brk id="88" min="1" max="9" man="1"/>
    <brk id="105" min="1" max="9" man="1"/>
    <brk id="128" min="1" max="9" man="1"/>
    <brk id="151" min="1" max="9" man="1"/>
    <brk id="175" min="1" max="9" man="1"/>
    <brk id="202" min="1" max="9" man="1"/>
    <brk id="232" min="1" max="9" man="1"/>
    <brk id="262" min="1"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7" id="{6B17BE3D-D675-4FB9-ABF9-4848FF3EF1FD}">
            <xm:f>OR($I$206="",$I$206='Backend (to be hidden)'!$DF$2,$I$206='Backend (to be hidden)'!$DF$4)</xm:f>
            <x14:dxf>
              <font>
                <strike val="0"/>
                <color theme="0" tint="-0.14996795556505021"/>
              </font>
              <fill>
                <patternFill>
                  <bgColor theme="0" tint="-0.14996795556505021"/>
                </patternFill>
              </fill>
              <border>
                <left/>
                <right/>
                <top/>
                <bottom/>
                <vertical/>
                <horizontal/>
              </border>
            </x14:dxf>
          </x14:cfRule>
          <xm:sqref>C223:I231</xm:sqref>
        </x14:conditionalFormatting>
        <x14:conditionalFormatting xmlns:xm="http://schemas.microsoft.com/office/excel/2006/main">
          <x14:cfRule type="expression" priority="36" id="{8AC0CAFD-2DC3-47A7-88F1-AA8649FFB28E}">
            <xm:f>OR($I$206="",$I$206='Backend (to be hidden)'!$DF$2,$I$206='Backend (to be hidden)'!$DF$3)</xm:f>
            <x14:dxf>
              <font>
                <strike val="0"/>
                <color theme="0" tint="-0.14996795556505021"/>
              </font>
              <fill>
                <patternFill>
                  <bgColor theme="0" tint="-0.14996795556505021"/>
                </patternFill>
              </fill>
              <border>
                <left/>
                <right/>
                <top/>
                <bottom/>
                <vertical/>
                <horizontal/>
              </border>
            </x14:dxf>
          </x14:cfRule>
          <xm:sqref>C233:I245</xm:sqref>
        </x14:conditionalFormatting>
        <x14:conditionalFormatting xmlns:xm="http://schemas.microsoft.com/office/excel/2006/main">
          <x14:cfRule type="expression" priority="79" id="{E030715E-918A-4CE3-991E-B2B234EDE7F7}">
            <xm:f>OR(AND($E$36="Other",$E$38="No"),OR($E$36='Backend (to be hidden)'!$BJ$3))</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E40</xm:sqref>
        </x14:conditionalFormatting>
        <x14:conditionalFormatting xmlns:xm="http://schemas.microsoft.com/office/excel/2006/main">
          <x14:cfRule type="expression" priority="124" id="{52EB9660-09A2-4CC0-80AE-0B55ABF71264}">
            <xm:f>OR(AND($E$36="Other",$E$38="No"),OR($E$36='Backend (to be hidden)'!$BJ$3,$E$36='Backend (to be hidden)'!$BJ$5,$E$36='Backend (to be hidden)'!$BJ$10))</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E41:E43</xm:sqref>
        </x14:conditionalFormatting>
        <x14:conditionalFormatting xmlns:xm="http://schemas.microsoft.com/office/excel/2006/main">
          <x14:cfRule type="expression" priority="88" id="{BD939518-6709-4391-8378-4A1B5BAC874D}">
            <xm:f>OR(AND($E$49="Other",$E$51="No"),OR($E$49='Backend (to be hidden)'!$BJ$3))</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E53</xm:sqref>
        </x14:conditionalFormatting>
        <x14:conditionalFormatting xmlns:xm="http://schemas.microsoft.com/office/excel/2006/main">
          <x14:cfRule type="expression" priority="108" id="{A99E2A02-1D5F-492A-9147-A80ED695DF96}">
            <xm:f>OR(AND($E$49="Other",$E$51="No"),OR($E$49='Backend (to be hidden)'!$BJ$3,$E$49='Backend (to be hidden)'!$BJ$5,$E$49='Backend (to be hidden)'!$BJ$10))</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E54:E56</xm:sqref>
        </x14:conditionalFormatting>
        <x14:conditionalFormatting xmlns:xm="http://schemas.microsoft.com/office/excel/2006/main">
          <x14:cfRule type="expression" priority="80" id="{14297800-CDB0-4394-9CA2-A42D45101484}">
            <xm:f>OR(AND($F$36="Other",$F$38="No"),OR($F$36='Backend (to be hidden)'!$BJ$3))</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F40</xm:sqref>
        </x14:conditionalFormatting>
        <x14:conditionalFormatting xmlns:xm="http://schemas.microsoft.com/office/excel/2006/main">
          <x14:cfRule type="expression" priority="125" id="{7B905B32-C601-4143-908F-E582009898CD}">
            <xm:f>OR(AND($F$36="Other",$F$38="No"),OR($F$36='Backend (to be hidden)'!$BJ$3,$F$36='Backend (to be hidden)'!$BJ$5,$F$36='Backend (to be hidden)'!$BJ$10))</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F41:F43</xm:sqref>
        </x14:conditionalFormatting>
        <x14:conditionalFormatting xmlns:xm="http://schemas.microsoft.com/office/excel/2006/main">
          <x14:cfRule type="expression" priority="89" id="{26464A73-DD21-41F0-99CC-C1348B23FE59}">
            <xm:f>OR(AND($F$49="Other",$F$51="No"),OR($F$49='Backend (to be hidden)'!$BJ$3))</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F53</xm:sqref>
        </x14:conditionalFormatting>
        <x14:conditionalFormatting xmlns:xm="http://schemas.microsoft.com/office/excel/2006/main">
          <x14:cfRule type="expression" priority="109" id="{C2F6B056-AE7B-4B67-B9DF-B4599AF4AFE6}">
            <xm:f>OR(AND($F$49="Other",$F$51="No"),OR($F$49='Backend (to be hidden)'!$BJ$3,$F$49='Backend (to be hidden)'!$BJ$5,$F$49='Backend (to be hidden)'!$BJ$10))</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F54:F56</xm:sqref>
        </x14:conditionalFormatting>
        <x14:conditionalFormatting xmlns:xm="http://schemas.microsoft.com/office/excel/2006/main">
          <x14:cfRule type="expression" priority="179" id="{C7A7094B-D369-4CC9-96F1-DAF6FC91D01B}">
            <xm:f>OR('3. EC Modelling Info'!$F$59="No",ISBLANK('3. EC Modelling Info'!$F$59))</xm:f>
            <x14:dxf>
              <font>
                <strike val="0"/>
                <color theme="0" tint="-0.14996795556505021"/>
              </font>
              <fill>
                <patternFill>
                  <bgColor theme="0" tint="-0.14996795556505021"/>
                </patternFill>
              </fill>
              <border>
                <left/>
                <right/>
                <top/>
                <bottom/>
                <vertical/>
                <horizontal/>
              </border>
            </x14:dxf>
          </x14:cfRule>
          <xm:sqref>F272:H272 C285:I285</xm:sqref>
        </x14:conditionalFormatting>
        <x14:conditionalFormatting xmlns:xm="http://schemas.microsoft.com/office/excel/2006/main">
          <x14:cfRule type="expression" priority="81" id="{293DD056-C8CE-40ED-8B0D-E18AEC108511}">
            <xm:f>OR(AND($G$36="Other",$G$38="No"),OR($G$36='Backend (to be hidden)'!$BJ$3))</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G40</xm:sqref>
        </x14:conditionalFormatting>
        <x14:conditionalFormatting xmlns:xm="http://schemas.microsoft.com/office/excel/2006/main">
          <x14:cfRule type="expression" priority="126" id="{F20E44BD-8B8A-4337-9C52-FD1CB405E53F}">
            <xm:f>OR(AND($G$36="Other",$G$38="No"),OR($G$36='Backend (to be hidden)'!$BJ$3,$G$36='Backend (to be hidden)'!$BJ$5,$G$36='Backend (to be hidden)'!$BJ$10))</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G41:G43</xm:sqref>
        </x14:conditionalFormatting>
        <x14:conditionalFormatting xmlns:xm="http://schemas.microsoft.com/office/excel/2006/main">
          <x14:cfRule type="expression" priority="90" id="{A96B61B5-FD13-4B0E-A650-82CDC30D99B2}">
            <xm:f>OR(AND($G$49="Other",$G$51="No"),OR($G$49='Backend (to be hidden)'!$BJ$3))</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G53</xm:sqref>
        </x14:conditionalFormatting>
        <x14:conditionalFormatting xmlns:xm="http://schemas.microsoft.com/office/excel/2006/main">
          <x14:cfRule type="expression" priority="110" id="{277379AC-D10B-41C6-901B-73EADC5AD91A}">
            <xm:f>OR(AND($G$49="Other",$G$51="No"),OR($G$49='Backend (to be hidden)'!$BJ$3,$G$49='Backend (to be hidden)'!$BJ$5,$G$49='Backend (to be hidden)'!$BJ$10))</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G54:G56</xm:sqref>
        </x14:conditionalFormatting>
        <x14:conditionalFormatting xmlns:xm="http://schemas.microsoft.com/office/excel/2006/main">
          <x14:cfRule type="expression" priority="82" id="{732026F8-4287-4DBF-A3DE-72E9EF283B03}">
            <xm:f>OR(AND($H$36="Other",$H$38="No"),OR($H$36='Backend (to be hidden)'!$BJ$3))</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H40</xm:sqref>
        </x14:conditionalFormatting>
        <x14:conditionalFormatting xmlns:xm="http://schemas.microsoft.com/office/excel/2006/main">
          <x14:cfRule type="expression" priority="127" id="{E0E95FAB-6B2D-4027-9E5A-430788C75317}">
            <xm:f>OR(AND($H$36="Other",$H$38="No"),OR($H$36='Backend (to be hidden)'!$BJ$3,$H$36='Backend (to be hidden)'!$BJ$5,$H$36='Backend (to be hidden)'!$BJ$10))</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H41:H43</xm:sqref>
        </x14:conditionalFormatting>
        <x14:conditionalFormatting xmlns:xm="http://schemas.microsoft.com/office/excel/2006/main">
          <x14:cfRule type="expression" priority="91" id="{E094FD63-CA93-4CC2-9C4D-10A2D45B4E54}">
            <xm:f>OR(AND($H$49="Other",$H$51="No"),OR($H$49='Backend (to be hidden)'!$BJ$3))</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H53</xm:sqref>
        </x14:conditionalFormatting>
        <x14:conditionalFormatting xmlns:xm="http://schemas.microsoft.com/office/excel/2006/main">
          <x14:cfRule type="expression" priority="111" id="{FE21AC84-4671-427A-8D50-E7A2373CDF0D}">
            <xm:f>OR(AND($H$49="Other",$H$51="No"),OR($H$49='Backend (to be hidden)'!$BJ$3,$H$49='Backend (to be hidden)'!$BJ$5,$H$49='Backend (to be hidden)'!$BJ$10))</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H54:H56</xm:sqref>
        </x14:conditionalFormatting>
        <x14:conditionalFormatting xmlns:xm="http://schemas.microsoft.com/office/excel/2006/main">
          <x14:cfRule type="expression" priority="1853" id="{81315847-29C9-467C-AFD0-F3236842166D}">
            <xm:f>$H$72='Backend (to be hidden)'!$CM$29</xm:f>
            <x14:dxf>
              <font>
                <b/>
                <i val="0"/>
                <color theme="0"/>
              </font>
              <fill>
                <patternFill>
                  <bgColor theme="4"/>
                </patternFill>
              </fill>
            </x14:dxf>
          </x14:cfRule>
          <xm:sqref>H72</xm:sqref>
        </x14:conditionalFormatting>
        <x14:conditionalFormatting xmlns:xm="http://schemas.microsoft.com/office/excel/2006/main">
          <x14:cfRule type="expression" priority="1854" id="{FE340CDD-6D30-428A-A8C8-9512D7664FB7}">
            <xm:f>$H$108='Backend (to be hidden)'!$CM$29</xm:f>
            <x14:dxf>
              <font>
                <b/>
                <i val="0"/>
                <color theme="0"/>
              </font>
              <fill>
                <patternFill>
                  <bgColor theme="4"/>
                </patternFill>
              </fill>
            </x14:dxf>
          </x14:cfRule>
          <xm:sqref>H108</xm:sqref>
        </x14:conditionalFormatting>
        <x14:conditionalFormatting xmlns:xm="http://schemas.microsoft.com/office/excel/2006/main">
          <x14:cfRule type="expression" priority="1855" id="{B0835FD8-E6AD-4EF2-9C2A-BBDA9A866C30}">
            <xm:f>$H$131='Backend (to be hidden)'!$CM$29</xm:f>
            <x14:dxf>
              <font>
                <b/>
                <i val="0"/>
                <color theme="0"/>
              </font>
              <fill>
                <patternFill>
                  <bgColor theme="4"/>
                </patternFill>
              </fill>
            </x14:dxf>
          </x14:cfRule>
          <xm:sqref>H131</xm:sqref>
        </x14:conditionalFormatting>
        <x14:conditionalFormatting xmlns:xm="http://schemas.microsoft.com/office/excel/2006/main">
          <x14:cfRule type="expression" priority="1856" id="{1CD3EE5A-6172-4762-AFAA-CE2C67BAE43A}">
            <xm:f>$H$157='Backend (to be hidden)'!$CM$29</xm:f>
            <x14:dxf>
              <font>
                <b/>
                <i val="0"/>
                <color theme="0"/>
              </font>
              <fill>
                <patternFill>
                  <bgColor theme="4"/>
                </patternFill>
              </fill>
            </x14:dxf>
          </x14:cfRule>
          <xm:sqref>H157</xm:sqref>
        </x14:conditionalFormatting>
        <x14:conditionalFormatting xmlns:xm="http://schemas.microsoft.com/office/excel/2006/main">
          <x14:cfRule type="expression" priority="1857" id="{C9D95D21-7018-4AB3-AE19-6821A388E9B7}">
            <xm:f>$H$178='Backend (to be hidden)'!$CM$29</xm:f>
            <x14:dxf>
              <font>
                <b/>
                <i val="0"/>
                <color theme="0"/>
              </font>
              <fill>
                <patternFill>
                  <bgColor theme="4"/>
                </patternFill>
              </fill>
            </x14:dxf>
          </x14:cfRule>
          <xm:sqref>H178</xm:sqref>
        </x14:conditionalFormatting>
        <x14:conditionalFormatting xmlns:xm="http://schemas.microsoft.com/office/excel/2006/main">
          <x14:cfRule type="expression" priority="1858" id="{28B2DD7D-6F1F-4D21-8DA0-E33181880CD0}">
            <xm:f>$H$265='Backend (to be hidden)'!$CM$29</xm:f>
            <x14:dxf>
              <font>
                <b/>
                <i val="0"/>
                <color theme="0"/>
              </font>
              <fill>
                <patternFill>
                  <bgColor theme="4"/>
                </patternFill>
              </fill>
            </x14:dxf>
          </x14:cfRule>
          <xm:sqref>H265</xm:sqref>
        </x14:conditionalFormatting>
        <x14:conditionalFormatting xmlns:xm="http://schemas.microsoft.com/office/excel/2006/main">
          <x14:cfRule type="expression" priority="1859" id="{8E0BBA50-7457-48D4-A54C-321F2EDF7DA0}">
            <xm:f>$H$26='Backend (to be hidden)'!$CM$29</xm:f>
            <x14:dxf>
              <font>
                <b/>
                <i val="0"/>
                <color theme="0"/>
              </font>
              <fill>
                <patternFill>
                  <bgColor theme="4"/>
                </patternFill>
              </fill>
            </x14:dxf>
          </x14:cfRule>
          <xm:sqref>H26:I26</xm:sqref>
        </x14:conditionalFormatting>
        <x14:conditionalFormatting xmlns:xm="http://schemas.microsoft.com/office/excel/2006/main">
          <x14:cfRule type="expression" priority="439" id="{DF8024B7-0BFA-46D8-967B-4CBD58599874}">
            <xm:f>NOT($I$14='Backend (to be hidden)'!$BR$2)</xm:f>
            <x14:dxf>
              <font>
                <color theme="1"/>
              </font>
              <fill>
                <patternFill>
                  <bgColor theme="0" tint="-0.14996795556505021"/>
                </patternFill>
              </fill>
            </x14:dxf>
          </x14:cfRule>
          <xm:sqref>I24 I70 I106 I129 I155 I176 I263</xm:sqref>
        </x14:conditionalFormatting>
        <x14:conditionalFormatting xmlns:xm="http://schemas.microsoft.com/office/excel/2006/main">
          <x14:cfRule type="expression" priority="87" id="{E7FFDAC0-8209-4323-87D1-8A2D01760257}">
            <xm:f>OR(AND($I$36="Other",$I$38="No"),OR($I$36='Backend (to be hidden)'!$BJ$3))</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I40</xm:sqref>
        </x14:conditionalFormatting>
        <x14:conditionalFormatting xmlns:xm="http://schemas.microsoft.com/office/excel/2006/main">
          <x14:cfRule type="expression" priority="129" id="{C20AA471-E578-4A1E-A17A-5A23CB22DC74}">
            <xm:f>OR(AND($I$36="Other",$I$38="No"),OR($I$36='Backend (to be hidden)'!$BJ$3,$I$36='Backend (to be hidden)'!$BJ$5,$I$36='Backend (to be hidden)'!$BJ$10))</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I41:I43</xm:sqref>
        </x14:conditionalFormatting>
        <x14:conditionalFormatting xmlns:xm="http://schemas.microsoft.com/office/excel/2006/main">
          <x14:cfRule type="expression" priority="97" id="{14C054FC-BA20-4874-8CE2-F0C87901BAE5}">
            <xm:f>OR(AND($I$49="Other",$I$51="No"),OR($I$49='Backend (to be hidden)'!$BJ$3))</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I53</xm:sqref>
        </x14:conditionalFormatting>
        <x14:conditionalFormatting xmlns:xm="http://schemas.microsoft.com/office/excel/2006/main">
          <x14:cfRule type="expression" priority="112" id="{6AD066A0-D9DA-4523-A89E-10375336365C}">
            <xm:f>OR(AND($I$49="Other",$I$51="No"),OR($I$49='Backend (to be hidden)'!$BJ$3,$I$49='Backend (to be hidden)'!$BJ$5,$I$49='Backend (to be hidden)'!$BJ$10))</xm:f>
            <x14:dxf>
              <font>
                <strike val="0"/>
                <color theme="1" tint="0.34998626667073579"/>
              </font>
              <fill>
                <patternFill>
                  <bgColor theme="0" tint="-0.14996795556505021"/>
                </patternFill>
              </fill>
              <border>
                <left style="thin">
                  <color theme="0" tint="-0.499984740745262"/>
                </left>
                <right style="thin">
                  <color theme="0" tint="-0.499984740745262"/>
                </right>
                <top style="thin">
                  <color theme="0" tint="-0.499984740745262"/>
                </top>
                <bottom style="thin">
                  <color theme="0" tint="-0.499984740745262"/>
                </bottom>
                <vertical/>
                <horizontal/>
              </border>
            </x14:dxf>
          </x14:cfRule>
          <xm:sqref>I54:I56</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3BDB071F-1359-4B59-AC92-107E36138CDB}">
          <x14:formula1>
            <xm:f>'Backend (to be hidden)'!$DD$2</xm:f>
          </x14:formula1>
          <xm:sqref>C144:C146 D249 C288:C290 D262 C170 C60:C64 C98:C100 C122:C123 C194:C197</xm:sqref>
        </x14:dataValidation>
        <x14:dataValidation type="list" allowBlank="1" showInputMessage="1" showErrorMessage="1" xr:uid="{E750094E-59AA-4A32-866E-0E219D638E37}">
          <x14:formula1>
            <xm:f>'Backend (to be hidden)'!$DF$2:$DF$4</xm:f>
          </x14:formula1>
          <xm:sqref>I206</xm:sqref>
        </x14:dataValidation>
        <x14:dataValidation type="list" allowBlank="1" showInputMessage="1" showErrorMessage="1" xr:uid="{AD4D1997-1BC3-4D7B-9D2D-039FE53DB432}">
          <x14:formula1>
            <xm:f>'Backend (to be hidden)'!$DP$2:$DP$8</xm:f>
          </x14:formula1>
          <xm:sqref>F115:F119</xm:sqref>
        </x14:dataValidation>
        <x14:dataValidation type="list" allowBlank="1" showInputMessage="1" showErrorMessage="1" xr:uid="{D270B4DE-8C21-4CB4-B7E5-6A3815F1FCB0}">
          <x14:formula1>
            <xm:f>'Backend (to be hidden)'!$BJ$2:$BJ$11</xm:f>
          </x14:formula1>
          <xm:sqref>E49:I49 F36:I36</xm:sqref>
        </x14:dataValidation>
        <x14:dataValidation type="list" allowBlank="1" showInputMessage="1" showErrorMessage="1" xr:uid="{7035A3D5-C620-49B1-9F81-6155EB26645B}">
          <x14:formula1>
            <xm:f>'Backend (to be hidden)'!$BJ$19:$BJ$26</xm:f>
          </x14:formula1>
          <xm:sqref>E36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A4D5-0328-4F8E-A8EE-D489D11A21AA}">
  <sheetPr>
    <tabColor theme="8" tint="0.39997558519241921"/>
    <outlinePr summaryBelow="0"/>
  </sheetPr>
  <dimension ref="A1:X258"/>
  <sheetViews>
    <sheetView workbookViewId="0">
      <selection activeCell="F32" sqref="F32:G32"/>
    </sheetView>
  </sheetViews>
  <sheetFormatPr defaultColWidth="0" defaultRowHeight="15" zeroHeight="1" outlineLevelRow="1"/>
  <cols>
    <col min="1" max="2" width="1.5703125" style="28" customWidth="1"/>
    <col min="3" max="3" width="14.28515625" style="28" customWidth="1"/>
    <col min="4" max="9" width="13.5703125" style="28" customWidth="1"/>
    <col min="10" max="10" width="15.140625" style="28" customWidth="1"/>
    <col min="11" max="11" width="15.28515625" style="28" customWidth="1"/>
    <col min="12" max="12" width="18.42578125" style="28" customWidth="1"/>
    <col min="13" max="13" width="1.42578125" style="28" customWidth="1"/>
    <col min="14" max="14" width="20.7109375" style="17" customWidth="1"/>
    <col min="15" max="16" width="20.7109375" style="6" customWidth="1"/>
    <col min="17" max="24" width="0" style="28" hidden="1" customWidth="1"/>
    <col min="25" max="16384" width="9.140625" hidden="1"/>
  </cols>
  <sheetData>
    <row r="1" spans="1:24" ht="15.75" thickBot="1">
      <c r="A1" s="29"/>
      <c r="B1" s="29"/>
      <c r="C1" s="29"/>
      <c r="D1" s="29"/>
      <c r="E1" s="29"/>
      <c r="F1" s="29"/>
      <c r="G1" s="29"/>
      <c r="H1" s="29"/>
      <c r="I1" s="29"/>
      <c r="J1" s="29"/>
      <c r="K1" s="29"/>
      <c r="L1" s="29"/>
      <c r="M1" s="29"/>
      <c r="O1" s="5"/>
      <c r="P1" s="5"/>
      <c r="Q1" s="33"/>
      <c r="R1" s="33"/>
      <c r="S1" s="33"/>
      <c r="T1" s="33"/>
      <c r="U1" s="33"/>
      <c r="V1" s="33"/>
      <c r="W1" s="33"/>
      <c r="X1" s="33"/>
    </row>
    <row r="2" spans="1:24" s="33" customFormat="1" ht="30.75" customHeight="1">
      <c r="A2" s="29"/>
      <c r="B2" s="678"/>
      <c r="C2" s="300"/>
      <c r="D2" s="300"/>
      <c r="E2" s="300"/>
      <c r="F2" s="758" t="s">
        <v>218</v>
      </c>
      <c r="G2" s="758"/>
      <c r="H2" s="758"/>
      <c r="I2" s="758"/>
      <c r="J2" s="758"/>
      <c r="K2" s="300"/>
      <c r="L2" s="300"/>
      <c r="M2" s="301"/>
      <c r="N2" s="19"/>
      <c r="O2" s="4"/>
      <c r="P2" s="4"/>
      <c r="Q2" s="32"/>
      <c r="R2" s="32"/>
      <c r="S2" s="32"/>
      <c r="T2" s="32"/>
    </row>
    <row r="3" spans="1:24" s="33" customFormat="1" ht="15" customHeight="1">
      <c r="A3" s="29"/>
      <c r="B3" s="34"/>
      <c r="C3" s="133"/>
      <c r="D3" s="133"/>
      <c r="E3" s="133"/>
      <c r="F3" s="133"/>
      <c r="G3" s="133"/>
      <c r="H3" s="133"/>
      <c r="I3" s="133"/>
      <c r="J3" s="133"/>
      <c r="K3" s="133"/>
      <c r="L3" s="36" t="s">
        <v>545</v>
      </c>
      <c r="M3" s="134"/>
      <c r="N3" s="536"/>
      <c r="O3" s="4"/>
      <c r="P3" s="4"/>
      <c r="Q3" s="32"/>
      <c r="R3" s="32"/>
      <c r="S3" s="32"/>
      <c r="T3" s="32"/>
    </row>
    <row r="4" spans="1:24" s="33" customFormat="1" ht="26.25" customHeight="1">
      <c r="A4" s="29"/>
      <c r="B4" s="39"/>
      <c r="C4" s="40"/>
      <c r="D4" s="40"/>
      <c r="E4" s="40"/>
      <c r="F4" s="40"/>
      <c r="G4" s="875" t="s">
        <v>575</v>
      </c>
      <c r="H4" s="875"/>
      <c r="I4" s="875"/>
      <c r="J4" s="40"/>
      <c r="K4" s="886" t="s">
        <v>1611</v>
      </c>
      <c r="L4" s="886"/>
      <c r="M4" s="42"/>
      <c r="N4" s="19"/>
      <c r="O4" s="4"/>
      <c r="P4" s="4"/>
      <c r="Q4" s="32"/>
      <c r="R4" s="32"/>
      <c r="S4" s="32"/>
      <c r="T4" s="32"/>
    </row>
    <row r="5" spans="1:24" s="33" customFormat="1" ht="15" customHeight="1">
      <c r="A5" s="29"/>
      <c r="B5" s="39"/>
      <c r="C5" s="271"/>
      <c r="D5" s="271"/>
      <c r="E5" s="271"/>
      <c r="F5" s="271"/>
      <c r="G5" s="885" t="s">
        <v>574</v>
      </c>
      <c r="H5" s="885"/>
      <c r="I5" s="885"/>
      <c r="J5" s="271"/>
      <c r="K5" s="40"/>
      <c r="L5" s="336"/>
      <c r="M5" s="42"/>
      <c r="N5" s="17"/>
      <c r="O5" s="4"/>
      <c r="P5" s="4"/>
      <c r="Q5" s="32"/>
      <c r="R5" s="32"/>
      <c r="S5" s="32"/>
      <c r="T5" s="32"/>
    </row>
    <row r="6" spans="1:24" s="28" customFormat="1" ht="15" customHeight="1" thickBot="1">
      <c r="A6" s="29"/>
      <c r="B6" s="43"/>
      <c r="C6" s="44"/>
      <c r="D6" s="44"/>
      <c r="E6" s="44"/>
      <c r="F6" s="44"/>
      <c r="G6" s="44"/>
      <c r="H6" s="44"/>
      <c r="I6" s="44"/>
      <c r="J6" s="44"/>
      <c r="K6" s="45"/>
      <c r="L6" s="45"/>
      <c r="M6" s="46"/>
      <c r="N6" s="17"/>
      <c r="O6" s="6"/>
      <c r="P6" s="6"/>
    </row>
    <row r="7" spans="1:24" s="33" customFormat="1" ht="15" customHeight="1">
      <c r="A7" s="29"/>
      <c r="B7" s="136"/>
      <c r="C7" s="795" t="s">
        <v>0</v>
      </c>
      <c r="D7" s="795"/>
      <c r="E7" s="795"/>
      <c r="F7" s="795"/>
      <c r="G7" s="795"/>
      <c r="H7" s="795"/>
      <c r="I7" s="795"/>
      <c r="J7" s="795"/>
      <c r="K7" s="795"/>
      <c r="L7" s="795"/>
      <c r="M7" s="199"/>
      <c r="N7" s="17"/>
      <c r="O7" s="7"/>
      <c r="P7" s="7"/>
      <c r="Q7" s="51"/>
      <c r="R7" s="51"/>
      <c r="S7" s="51"/>
      <c r="T7" s="51"/>
    </row>
    <row r="8" spans="1:24" s="33" customFormat="1" ht="86.25" customHeight="1">
      <c r="A8" s="29"/>
      <c r="B8" s="49"/>
      <c r="C8" s="929" t="s">
        <v>1457</v>
      </c>
      <c r="D8" s="929"/>
      <c r="E8" s="929"/>
      <c r="F8" s="929"/>
      <c r="G8" s="929"/>
      <c r="H8" s="929"/>
      <c r="I8" s="929"/>
      <c r="J8" s="929"/>
      <c r="K8" s="929"/>
      <c r="L8" s="929"/>
      <c r="M8" s="137"/>
      <c r="N8" s="17"/>
      <c r="O8" s="7"/>
      <c r="P8" s="7"/>
      <c r="Q8" s="51"/>
      <c r="R8" s="51"/>
      <c r="S8" s="51"/>
      <c r="T8" s="51"/>
    </row>
    <row r="9" spans="1:24" s="28" customFormat="1" ht="42" customHeight="1">
      <c r="B9" s="148"/>
      <c r="C9" s="935" t="s">
        <v>1609</v>
      </c>
      <c r="D9" s="935"/>
      <c r="E9" s="935"/>
      <c r="F9" s="935"/>
      <c r="G9" s="935"/>
      <c r="H9" s="935"/>
      <c r="I9" s="935"/>
      <c r="J9" s="935"/>
      <c r="K9" s="935"/>
      <c r="L9" s="935"/>
      <c r="M9" s="150"/>
      <c r="N9" s="6"/>
      <c r="O9" s="6"/>
      <c r="P9" s="6"/>
      <c r="R9" s="446"/>
    </row>
    <row r="10" spans="1:24" s="28" customFormat="1" ht="8.1" customHeight="1" thickBot="1">
      <c r="A10" s="29"/>
      <c r="B10" s="55"/>
      <c r="C10" s="574"/>
      <c r="D10" s="574"/>
      <c r="E10" s="574"/>
      <c r="F10" s="574"/>
      <c r="G10" s="574"/>
      <c r="H10" s="574"/>
      <c r="I10" s="574"/>
      <c r="J10" s="574"/>
      <c r="K10" s="574"/>
      <c r="L10" s="574"/>
      <c r="M10" s="445"/>
      <c r="N10" s="6"/>
      <c r="O10" s="6"/>
      <c r="P10" s="6"/>
      <c r="R10" s="446"/>
    </row>
    <row r="11" spans="1:24" s="28" customFormat="1" ht="15" customHeight="1">
      <c r="B11" s="678"/>
      <c r="C11" s="777" t="s">
        <v>1140</v>
      </c>
      <c r="D11" s="777"/>
      <c r="E11" s="777"/>
      <c r="F11" s="777"/>
      <c r="G11" s="777"/>
      <c r="H11" s="777"/>
      <c r="I11" s="777"/>
      <c r="J11" s="777"/>
      <c r="K11" s="777"/>
      <c r="L11" s="777"/>
      <c r="M11" s="199"/>
      <c r="N11" s="17"/>
      <c r="O11" s="6"/>
      <c r="P11" s="6"/>
    </row>
    <row r="12" spans="1:24" s="28" customFormat="1" ht="15" customHeight="1">
      <c r="B12" s="65"/>
      <c r="C12" s="338"/>
      <c r="D12" s="339"/>
      <c r="E12" s="339"/>
      <c r="F12" s="339"/>
      <c r="G12" s="339"/>
      <c r="H12" s="339"/>
      <c r="I12" s="339"/>
      <c r="J12" s="262"/>
      <c r="K12" s="339"/>
      <c r="L12" s="339"/>
      <c r="M12" s="50"/>
      <c r="N12" s="17"/>
      <c r="O12" s="6"/>
      <c r="P12" s="6"/>
    </row>
    <row r="13" spans="1:24" s="28" customFormat="1" ht="15" customHeight="1">
      <c r="B13" s="65"/>
      <c r="C13" s="340" t="s">
        <v>1092</v>
      </c>
      <c r="D13" s="340"/>
      <c r="E13" s="340"/>
      <c r="F13" s="340"/>
      <c r="G13" s="340"/>
      <c r="H13" s="340"/>
      <c r="I13" s="340"/>
      <c r="J13" s="340"/>
      <c r="K13" s="389" t="s">
        <v>1243</v>
      </c>
      <c r="L13" s="415" t="str">
        <f>IF(ISBLANK('7. ILCs - Design '!$I$70),"",'7. ILCs - Design '!$I$70)</f>
        <v>Yes</v>
      </c>
      <c r="M13" s="50"/>
      <c r="N13" s="17"/>
      <c r="O13" s="6"/>
      <c r="P13" s="6"/>
    </row>
    <row r="14" spans="1:24" s="28" customFormat="1" ht="8.1" customHeight="1">
      <c r="B14" s="65"/>
      <c r="C14" s="338"/>
      <c r="D14" s="339"/>
      <c r="E14" s="339"/>
      <c r="F14" s="339"/>
      <c r="G14" s="339"/>
      <c r="H14" s="339"/>
      <c r="I14" s="339"/>
      <c r="J14" s="339"/>
      <c r="K14" s="339"/>
      <c r="L14" s="339"/>
      <c r="M14" s="50"/>
      <c r="N14" s="17"/>
      <c r="O14" s="6"/>
      <c r="P14" s="6"/>
    </row>
    <row r="15" spans="1:24" s="28" customFormat="1" ht="15" customHeight="1">
      <c r="B15" s="65"/>
      <c r="C15" s="338"/>
      <c r="D15" s="339"/>
      <c r="E15" s="339"/>
      <c r="F15" s="339"/>
      <c r="G15" s="339"/>
      <c r="H15" s="339"/>
      <c r="I15" s="339"/>
      <c r="J15" s="339"/>
      <c r="K15" s="262" t="s">
        <v>1050</v>
      </c>
      <c r="L15" s="415" t="str">
        <f>IF(ISBLANK('7. ILCs - Design '!H77),"",'7. ILCs - Design '!H77)</f>
        <v>Yes</v>
      </c>
      <c r="M15" s="50"/>
      <c r="N15" s="17"/>
      <c r="O15" s="6"/>
      <c r="P15" s="6"/>
    </row>
    <row r="16" spans="1:24" s="28" customFormat="1" ht="15" customHeight="1">
      <c r="B16" s="65"/>
      <c r="C16" s="338"/>
      <c r="D16" s="339"/>
      <c r="E16" s="339"/>
      <c r="F16" s="339"/>
      <c r="G16" s="339"/>
      <c r="H16" s="339"/>
      <c r="I16" s="339"/>
      <c r="J16" s="339"/>
      <c r="K16" s="262" t="s">
        <v>1051</v>
      </c>
      <c r="L16" s="415" t="str">
        <f>IF(ISBLANK('7. ILCs - Design '!H78),"",'7. ILCs - Design '!H78)</f>
        <v>Yes</v>
      </c>
      <c r="M16" s="50"/>
      <c r="N16" s="17"/>
      <c r="O16" s="6"/>
      <c r="P16" s="6"/>
    </row>
    <row r="17" spans="1:16" s="28" customFormat="1" ht="8.1" customHeight="1">
      <c r="B17" s="65"/>
      <c r="C17" s="338"/>
      <c r="D17" s="339"/>
      <c r="E17" s="339"/>
      <c r="F17" s="339"/>
      <c r="G17" s="339"/>
      <c r="H17" s="339"/>
      <c r="I17" s="339"/>
      <c r="J17" s="339"/>
      <c r="K17" s="339"/>
      <c r="L17" s="339"/>
      <c r="M17" s="50"/>
      <c r="N17" s="17"/>
      <c r="O17" s="6"/>
      <c r="P17" s="6"/>
    </row>
    <row r="18" spans="1:16" s="28" customFormat="1" ht="39.75" customHeight="1">
      <c r="B18" s="65"/>
      <c r="C18" s="801" t="s">
        <v>1564</v>
      </c>
      <c r="D18" s="801"/>
      <c r="E18" s="801"/>
      <c r="F18" s="801"/>
      <c r="G18" s="801"/>
      <c r="H18" s="801"/>
      <c r="I18" s="801"/>
      <c r="J18" s="801"/>
      <c r="K18" s="801"/>
      <c r="L18" s="801"/>
      <c r="M18" s="50"/>
      <c r="N18" s="17"/>
      <c r="O18" s="6"/>
      <c r="P18" s="6"/>
    </row>
    <row r="19" spans="1:16" s="28" customFormat="1" ht="15" customHeight="1">
      <c r="B19" s="65"/>
      <c r="C19" s="681" t="s">
        <v>1240</v>
      </c>
      <c r="D19" s="671"/>
      <c r="E19" s="671"/>
      <c r="F19" s="671"/>
      <c r="G19" s="671"/>
      <c r="H19" s="671"/>
      <c r="I19" s="671"/>
      <c r="J19" s="671"/>
      <c r="K19" s="671"/>
      <c r="L19" s="671"/>
      <c r="M19" s="50"/>
      <c r="N19" s="17"/>
      <c r="O19" s="6"/>
      <c r="P19" s="6"/>
    </row>
    <row r="20" spans="1:16" s="28" customFormat="1" ht="15" customHeight="1" outlineLevel="1">
      <c r="B20" s="65"/>
      <c r="C20" s="338"/>
      <c r="D20" s="339"/>
      <c r="E20" s="339"/>
      <c r="F20" s="339"/>
      <c r="G20" s="339"/>
      <c r="H20" s="339"/>
      <c r="I20" s="339"/>
      <c r="J20" s="339"/>
      <c r="K20" s="339"/>
      <c r="L20" s="339"/>
      <c r="M20" s="50"/>
      <c r="N20" s="17"/>
      <c r="O20" s="6"/>
      <c r="P20" s="6"/>
    </row>
    <row r="21" spans="1:16" s="28" customFormat="1" ht="15" customHeight="1" outlineLevel="1">
      <c r="A21" s="29"/>
      <c r="B21" s="34"/>
      <c r="C21" s="803" t="s">
        <v>1098</v>
      </c>
      <c r="D21" s="803"/>
      <c r="E21" s="803"/>
      <c r="F21" s="803"/>
      <c r="G21" s="803"/>
      <c r="H21" s="803"/>
      <c r="I21" s="803"/>
      <c r="J21" s="803"/>
      <c r="K21" s="803"/>
      <c r="L21" s="803"/>
      <c r="M21" s="673"/>
      <c r="N21" s="209"/>
      <c r="O21" s="6"/>
      <c r="P21" s="6"/>
    </row>
    <row r="22" spans="1:16" s="28" customFormat="1" ht="8.1" customHeight="1" outlineLevel="1">
      <c r="A22" s="29"/>
      <c r="B22" s="34"/>
      <c r="C22" s="339"/>
      <c r="D22" s="339"/>
      <c r="E22" s="339"/>
      <c r="F22" s="339"/>
      <c r="G22" s="339"/>
      <c r="H22" s="339"/>
      <c r="I22" s="339"/>
      <c r="J22" s="339"/>
      <c r="K22" s="339"/>
      <c r="L22" s="339"/>
      <c r="M22" s="673"/>
      <c r="N22" s="17"/>
      <c r="O22" s="6"/>
      <c r="P22" s="6"/>
    </row>
    <row r="23" spans="1:16" s="28" customFormat="1" ht="15" customHeight="1" outlineLevel="1">
      <c r="A23" s="29"/>
      <c r="B23" s="34"/>
      <c r="C23" s="339"/>
      <c r="D23" s="339"/>
      <c r="E23" s="339"/>
      <c r="F23" s="339"/>
      <c r="G23" s="339"/>
      <c r="H23" s="339"/>
      <c r="I23" s="998" t="s">
        <v>1096</v>
      </c>
      <c r="J23" s="998"/>
      <c r="K23" s="998"/>
      <c r="L23" s="998"/>
      <c r="M23" s="673"/>
      <c r="N23" s="17"/>
      <c r="O23" s="6"/>
      <c r="P23" s="6"/>
    </row>
    <row r="24" spans="1:16" s="28" customFormat="1" ht="15" customHeight="1" outlineLevel="1">
      <c r="A24" s="29"/>
      <c r="B24" s="34"/>
      <c r="C24" s="339"/>
      <c r="D24" s="339"/>
      <c r="E24" s="339"/>
      <c r="F24" s="339"/>
      <c r="G24" s="339"/>
      <c r="H24" s="339"/>
      <c r="I24" s="993" t="s">
        <v>1304</v>
      </c>
      <c r="J24" s="953"/>
      <c r="K24" s="993" t="s">
        <v>1305</v>
      </c>
      <c r="L24" s="953"/>
      <c r="M24" s="673"/>
      <c r="N24" s="17"/>
      <c r="O24" s="6"/>
      <c r="P24" s="6"/>
    </row>
    <row r="25" spans="1:16" s="28" customFormat="1" ht="15" customHeight="1" outlineLevel="1">
      <c r="B25" s="65"/>
      <c r="C25" s="338"/>
      <c r="D25" s="339"/>
      <c r="E25" s="339"/>
      <c r="F25" s="339"/>
      <c r="G25" s="339"/>
      <c r="H25" s="262" t="s">
        <v>1097</v>
      </c>
      <c r="I25" s="994">
        <f>IF(ISNUMBER('7. ILCs - Design '!$I$92),'7. ILCs - Design '!$I$92,"Enter Concrete Volume Budget in 6. Design ILCs Reporting")</f>
        <v>540</v>
      </c>
      <c r="J25" s="995"/>
      <c r="K25" s="994">
        <f>IF(ISNUMBER('7. ILCs - Design '!$I$95),'7. ILCs - Design '!$I$95,"Enter Concrete Embodied Carbon Budget in 6. Design ILCs Reporting")</f>
        <v>166500.00000000003</v>
      </c>
      <c r="L25" s="995"/>
      <c r="M25" s="673"/>
      <c r="N25" s="17"/>
      <c r="O25" s="6"/>
      <c r="P25" s="6"/>
    </row>
    <row r="26" spans="1:16" s="28" customFormat="1" ht="15" customHeight="1" outlineLevel="1">
      <c r="B26" s="65"/>
      <c r="C26" s="338"/>
      <c r="D26" s="339"/>
      <c r="E26" s="339"/>
      <c r="F26" s="339"/>
      <c r="G26" s="339"/>
      <c r="H26" s="262" t="s">
        <v>1095</v>
      </c>
      <c r="I26" s="994">
        <f>IF($D$48=0,"",$D$48)</f>
        <v>510</v>
      </c>
      <c r="J26" s="995"/>
      <c r="K26" s="994">
        <f>IF($J$48=0,"",$J$48)</f>
        <v>147600</v>
      </c>
      <c r="L26" s="995"/>
      <c r="M26" s="673"/>
      <c r="N26" s="17"/>
      <c r="O26" s="6"/>
      <c r="P26" s="6"/>
    </row>
    <row r="27" spans="1:16" s="28" customFormat="1" ht="15" customHeight="1" outlineLevel="1">
      <c r="B27" s="65"/>
      <c r="C27" s="339"/>
      <c r="D27" s="339"/>
      <c r="E27" s="339"/>
      <c r="F27" s="339"/>
      <c r="G27" s="339"/>
      <c r="H27" s="264" t="s">
        <v>96</v>
      </c>
      <c r="I27" s="996">
        <f>IFERROR(IF(ISNUMBER($I$25),1-$D$48/$I$25,""),"")</f>
        <v>5.555555555555558E-2</v>
      </c>
      <c r="J27" s="997"/>
      <c r="K27" s="996">
        <f>IFERROR(IF(ISNUMBER($K$25),1-$J$48/$K$25,""),"")</f>
        <v>0.11351351351351369</v>
      </c>
      <c r="L27" s="997"/>
      <c r="M27" s="673"/>
      <c r="N27" s="17"/>
      <c r="O27" s="6"/>
      <c r="P27" s="6"/>
    </row>
    <row r="28" spans="1:16" s="28" customFormat="1" ht="37.5" customHeight="1" outlineLevel="1">
      <c r="B28" s="65"/>
      <c r="C28" s="339"/>
      <c r="D28" s="339"/>
      <c r="E28" s="339"/>
      <c r="F28" s="339"/>
      <c r="G28" s="339"/>
      <c r="H28" s="264" t="s">
        <v>1099</v>
      </c>
      <c r="I28" s="991" t="str">
        <f>IF(NOT(ISNUMBER($I$26*$I$27)),"Enter As-Built Data",IF(SUM($H$32:$H$34)&gt;0,"Enter contractor info.",IF(SUM($M$32:$M$34)&gt;0,"Enter supplier info",IF($I$27&gt;=0,"YES","NO"))))</f>
        <v>YES</v>
      </c>
      <c r="J28" s="991"/>
      <c r="K28" s="991" t="str">
        <f ca="1">IF(ISNUMBER($K$26*$K$27),IF(SUM($M$39:$M$47)&gt;0,"EPD Expired. Use valid EPD.",IF($K$27&gt;=0,"YES","NO")),"Enter As-Built Data")</f>
        <v>YES</v>
      </c>
      <c r="L28" s="991"/>
      <c r="M28" s="673"/>
      <c r="N28" s="17"/>
      <c r="O28" s="6"/>
      <c r="P28" s="6"/>
    </row>
    <row r="29" spans="1:16" s="28" customFormat="1" ht="8.1" customHeight="1" outlineLevel="1">
      <c r="A29" s="29"/>
      <c r="B29" s="34"/>
      <c r="C29" s="262"/>
      <c r="D29" s="262"/>
      <c r="E29" s="262"/>
      <c r="F29" s="262"/>
      <c r="G29" s="262"/>
      <c r="H29" s="262"/>
      <c r="I29" s="262"/>
      <c r="J29" s="262"/>
      <c r="K29" s="672"/>
      <c r="L29" s="672"/>
      <c r="M29" s="673"/>
      <c r="N29" s="17"/>
      <c r="O29" s="6"/>
      <c r="P29" s="6"/>
    </row>
    <row r="30" spans="1:16" s="28" customFormat="1" ht="15" customHeight="1" outlineLevel="1">
      <c r="B30" s="65"/>
      <c r="C30" s="803" t="s">
        <v>1093</v>
      </c>
      <c r="D30" s="803"/>
      <c r="E30" s="803"/>
      <c r="F30" s="803"/>
      <c r="G30" s="803"/>
      <c r="H30" s="803"/>
      <c r="I30" s="803"/>
      <c r="J30" s="803"/>
      <c r="K30" s="803"/>
      <c r="L30" s="803"/>
      <c r="M30" s="147"/>
      <c r="N30" s="209"/>
      <c r="O30" s="547"/>
      <c r="P30" s="6"/>
    </row>
    <row r="31" spans="1:16" s="28" customFormat="1" ht="8.1" customHeight="1" outlineLevel="1">
      <c r="A31" s="29"/>
      <c r="B31" s="34"/>
      <c r="C31" s="262"/>
      <c r="D31" s="262"/>
      <c r="E31" s="264"/>
      <c r="F31" s="264"/>
      <c r="G31" s="262"/>
      <c r="H31" s="262"/>
      <c r="I31" s="264"/>
      <c r="J31" s="153"/>
      <c r="K31" s="153"/>
      <c r="L31" s="153"/>
      <c r="M31" s="673"/>
      <c r="N31" s="17"/>
      <c r="O31" s="6"/>
      <c r="P31" s="6"/>
    </row>
    <row r="32" spans="1:16" s="28" customFormat="1" ht="15" customHeight="1" outlineLevel="1">
      <c r="A32" s="29"/>
      <c r="B32" s="34"/>
      <c r="C32" s="262"/>
      <c r="D32" s="262"/>
      <c r="E32" s="262" t="s">
        <v>1022</v>
      </c>
      <c r="F32" s="761" t="s">
        <v>1331</v>
      </c>
      <c r="G32" s="763"/>
      <c r="H32" s="262"/>
      <c r="I32" s="262"/>
      <c r="J32" s="262" t="s">
        <v>1563</v>
      </c>
      <c r="K32" s="761" t="s">
        <v>1331</v>
      </c>
      <c r="L32" s="763"/>
      <c r="M32" s="673">
        <f>IF(ISBLANK(K32),1,0)</f>
        <v>0</v>
      </c>
      <c r="N32" s="17"/>
      <c r="O32" s="6"/>
      <c r="P32" s="6"/>
    </row>
    <row r="33" spans="1:16" s="28" customFormat="1" ht="15" customHeight="1" outlineLevel="1">
      <c r="A33" s="29"/>
      <c r="B33" s="34"/>
      <c r="C33" s="262"/>
      <c r="D33" s="262"/>
      <c r="E33" s="262" t="s">
        <v>1023</v>
      </c>
      <c r="F33" s="761" t="s">
        <v>1331</v>
      </c>
      <c r="G33" s="763"/>
      <c r="H33" s="262"/>
      <c r="I33" s="262"/>
      <c r="J33" s="262" t="s">
        <v>1021</v>
      </c>
      <c r="K33" s="761" t="s">
        <v>1331</v>
      </c>
      <c r="L33" s="763"/>
      <c r="M33" s="673">
        <f>IF(ISBLANK(K33),1,0)</f>
        <v>0</v>
      </c>
      <c r="N33" s="17"/>
      <c r="O33" s="6"/>
      <c r="P33" s="6"/>
    </row>
    <row r="34" spans="1:16" s="28" customFormat="1" ht="15" customHeight="1" outlineLevel="1">
      <c r="A34" s="29"/>
      <c r="B34" s="34"/>
      <c r="C34" s="262"/>
      <c r="D34" s="262"/>
      <c r="E34" s="489" t="s">
        <v>1302</v>
      </c>
      <c r="F34" s="999">
        <v>46516</v>
      </c>
      <c r="G34" s="1000"/>
      <c r="H34" s="262"/>
      <c r="I34" s="262"/>
      <c r="J34" s="489" t="s">
        <v>1303</v>
      </c>
      <c r="K34" s="963">
        <v>46516</v>
      </c>
      <c r="L34" s="964"/>
      <c r="M34" s="673">
        <f>IF(ISBLANK(K34),1,0)</f>
        <v>0</v>
      </c>
      <c r="N34" s="17"/>
      <c r="O34" s="6"/>
      <c r="P34" s="6"/>
    </row>
    <row r="35" spans="1:16" s="28" customFormat="1" ht="8.1" customHeight="1" outlineLevel="1">
      <c r="A35" s="29"/>
      <c r="B35" s="34"/>
      <c r="C35" s="262"/>
      <c r="D35" s="262"/>
      <c r="E35" s="262"/>
      <c r="F35" s="262"/>
      <c r="G35" s="262"/>
      <c r="H35" s="262"/>
      <c r="I35" s="262"/>
      <c r="J35" s="262"/>
      <c r="K35" s="672"/>
      <c r="L35" s="672"/>
      <c r="M35" s="673"/>
      <c r="N35" s="17"/>
      <c r="O35" s="6"/>
      <c r="P35" s="6"/>
    </row>
    <row r="36" spans="1:16" s="28" customFormat="1" ht="15" customHeight="1" outlineLevel="1">
      <c r="B36" s="65"/>
      <c r="C36" s="803" t="s">
        <v>1024</v>
      </c>
      <c r="D36" s="803"/>
      <c r="E36" s="803"/>
      <c r="F36" s="803"/>
      <c r="G36" s="803"/>
      <c r="H36" s="803"/>
      <c r="I36" s="803"/>
      <c r="J36" s="803"/>
      <c r="K36" s="803"/>
      <c r="L36" s="803"/>
      <c r="M36" s="147"/>
      <c r="N36" s="17"/>
      <c r="O36" s="547"/>
      <c r="P36" s="6"/>
    </row>
    <row r="37" spans="1:16" s="28" customFormat="1" ht="8.1" customHeight="1" outlineLevel="1">
      <c r="A37" s="29"/>
      <c r="B37" s="34"/>
      <c r="C37" s="262"/>
      <c r="D37" s="262"/>
      <c r="E37" s="262"/>
      <c r="F37" s="262"/>
      <c r="G37" s="262"/>
      <c r="H37" s="262"/>
      <c r="I37" s="264"/>
      <c r="J37" s="153"/>
      <c r="K37" s="153"/>
      <c r="L37" s="153"/>
      <c r="M37" s="673"/>
      <c r="N37" s="17"/>
      <c r="O37" s="6"/>
      <c r="P37" s="6"/>
    </row>
    <row r="38" spans="1:16" s="28" customFormat="1" ht="68.25" customHeight="1" outlineLevel="1">
      <c r="A38" s="29"/>
      <c r="B38" s="141"/>
      <c r="C38" s="679" t="s">
        <v>1042</v>
      </c>
      <c r="D38" s="679" t="s">
        <v>1109</v>
      </c>
      <c r="E38" s="679" t="s">
        <v>1020</v>
      </c>
      <c r="F38" s="679" t="s">
        <v>1367</v>
      </c>
      <c r="G38" s="679" t="s">
        <v>572</v>
      </c>
      <c r="H38" s="679" t="s">
        <v>1110</v>
      </c>
      <c r="I38" s="679" t="s">
        <v>1111</v>
      </c>
      <c r="J38" s="679" t="s">
        <v>1101</v>
      </c>
      <c r="K38" s="688" t="s">
        <v>1567</v>
      </c>
      <c r="L38" s="688" t="s">
        <v>1313</v>
      </c>
      <c r="M38" s="155"/>
      <c r="N38" s="209"/>
      <c r="O38" s="6"/>
      <c r="P38" s="6"/>
    </row>
    <row r="39" spans="1:16" s="28" customFormat="1" ht="15" customHeight="1" outlineLevel="1">
      <c r="A39" s="29"/>
      <c r="B39" s="141"/>
      <c r="C39" s="670" t="s">
        <v>1108</v>
      </c>
      <c r="D39" s="416" t="s">
        <v>1107</v>
      </c>
      <c r="E39" s="670" t="s">
        <v>1368</v>
      </c>
      <c r="F39" s="416" t="s">
        <v>1106</v>
      </c>
      <c r="G39" s="416" t="s">
        <v>1105</v>
      </c>
      <c r="H39" s="416" t="s">
        <v>1104</v>
      </c>
      <c r="I39" s="670" t="s">
        <v>1103</v>
      </c>
      <c r="J39" s="416" t="s">
        <v>1102</v>
      </c>
      <c r="K39" s="372" t="s">
        <v>1091</v>
      </c>
      <c r="L39" s="372" t="s">
        <v>1091</v>
      </c>
      <c r="M39" s="155"/>
      <c r="N39" s="19"/>
      <c r="O39" s="6"/>
      <c r="P39" s="6"/>
    </row>
    <row r="40" spans="1:16" s="6" customFormat="1" ht="15" customHeight="1" outlineLevel="1">
      <c r="A40" s="740"/>
      <c r="B40" s="741"/>
      <c r="C40" s="738" t="s">
        <v>1625</v>
      </c>
      <c r="D40" s="738">
        <v>80</v>
      </c>
      <c r="E40" s="553" t="s">
        <v>1626</v>
      </c>
      <c r="F40" s="554">
        <v>25</v>
      </c>
      <c r="G40" s="555" t="s">
        <v>75</v>
      </c>
      <c r="H40" s="738">
        <v>220</v>
      </c>
      <c r="I40" s="523">
        <v>47119</v>
      </c>
      <c r="J40" s="704">
        <f t="shared" ref="J40:J47" si="0">IF(ISNUMBER(D40*H40),H40*D40,"")</f>
        <v>17600</v>
      </c>
      <c r="K40" s="742">
        <f>IF(AND(ISNUMBER($F40),OR(G40="No",G40="Yes")),VLOOKUP($F40&amp;$G40,'Backend (to be hidden)'!$DM$1:$DN$22,2,FALSE)*$D40,"")</f>
        <v>17576</v>
      </c>
      <c r="L40" s="743">
        <f>IF(ISNUMBER($K40),1-($J40/$K40),"")</f>
        <v>-1.3654984069184639E-3</v>
      </c>
      <c r="M40" s="744">
        <f t="shared" ref="M40:M47" ca="1" si="1">IF(NOT(ISBLANK(I40)),IF(TODAY()&gt;I40,1,0),"")</f>
        <v>0</v>
      </c>
      <c r="N40" s="17"/>
    </row>
    <row r="41" spans="1:16" s="6" customFormat="1" ht="15" customHeight="1" outlineLevel="1">
      <c r="A41" s="740"/>
      <c r="B41" s="741"/>
      <c r="C41" s="738" t="s">
        <v>1627</v>
      </c>
      <c r="D41" s="738">
        <v>70</v>
      </c>
      <c r="E41" s="553" t="s">
        <v>1628</v>
      </c>
      <c r="F41" s="554">
        <v>30</v>
      </c>
      <c r="G41" s="555" t="s">
        <v>75</v>
      </c>
      <c r="H41" s="738">
        <v>500</v>
      </c>
      <c r="I41" s="523">
        <v>47119</v>
      </c>
      <c r="J41" s="704">
        <f t="shared" si="0"/>
        <v>35000</v>
      </c>
      <c r="K41" s="742">
        <f>IF(AND(ISNUMBER($F41),OR(G41="No",G41="Yes")),VLOOKUP($F41&amp;$G41,'Backend (to be hidden)'!$DM$1:$DN$22,2,FALSE)*$D41,"")</f>
        <v>18124.400000000001</v>
      </c>
      <c r="L41" s="743">
        <f t="shared" ref="L41:L47" si="2">IF(ISNUMBER($K41),1-($J41/$K41),"")</f>
        <v>-0.93109840877491101</v>
      </c>
      <c r="M41" s="744">
        <f t="shared" ca="1" si="1"/>
        <v>0</v>
      </c>
      <c r="N41" s="17"/>
    </row>
    <row r="42" spans="1:16" s="6" customFormat="1" ht="15" customHeight="1" outlineLevel="1">
      <c r="A42" s="740"/>
      <c r="B42" s="741"/>
      <c r="C42" s="738" t="s">
        <v>1629</v>
      </c>
      <c r="D42" s="738">
        <v>350</v>
      </c>
      <c r="E42" s="553" t="s">
        <v>1630</v>
      </c>
      <c r="F42" s="554">
        <v>35</v>
      </c>
      <c r="G42" s="555" t="s">
        <v>75</v>
      </c>
      <c r="H42" s="738">
        <v>260</v>
      </c>
      <c r="I42" s="523">
        <v>47119</v>
      </c>
      <c r="J42" s="704">
        <f t="shared" si="0"/>
        <v>91000</v>
      </c>
      <c r="K42" s="742">
        <f>IF(AND(ISNUMBER($F42),OR(G42="No",G42="Yes")),VLOOKUP($F42&amp;$G42,'Backend (to be hidden)'!$DM$1:$DN$22,2,FALSE)*$D42,"")</f>
        <v>102812.5</v>
      </c>
      <c r="L42" s="743">
        <f t="shared" si="2"/>
        <v>0.11489361702127665</v>
      </c>
      <c r="M42" s="744">
        <f t="shared" ca="1" si="1"/>
        <v>0</v>
      </c>
      <c r="N42" s="17"/>
    </row>
    <row r="43" spans="1:16" s="6" customFormat="1" ht="15" customHeight="1" outlineLevel="1">
      <c r="A43" s="740"/>
      <c r="B43" s="741"/>
      <c r="C43" s="738" t="s">
        <v>1631</v>
      </c>
      <c r="D43" s="738">
        <v>10</v>
      </c>
      <c r="E43" s="553" t="s">
        <v>1632</v>
      </c>
      <c r="F43" s="554">
        <v>40</v>
      </c>
      <c r="G43" s="555" t="s">
        <v>75</v>
      </c>
      <c r="H43" s="738">
        <v>400</v>
      </c>
      <c r="I43" s="523">
        <v>47119</v>
      </c>
      <c r="J43" s="704">
        <f t="shared" si="0"/>
        <v>4000</v>
      </c>
      <c r="K43" s="742">
        <f>IF(AND(ISNUMBER($F43),OR(G43="No",G43="Yes")),VLOOKUP($F43&amp;$G43,'Backend (to be hidden)'!$DM$1:$DN$22,2,FALSE)*$D43,"")</f>
        <v>3290</v>
      </c>
      <c r="L43" s="743">
        <f t="shared" si="2"/>
        <v>-0.21580547112462001</v>
      </c>
      <c r="M43" s="744">
        <f t="shared" ca="1" si="1"/>
        <v>0</v>
      </c>
      <c r="N43" s="19"/>
    </row>
    <row r="44" spans="1:16" s="6" customFormat="1" ht="15" customHeight="1" outlineLevel="1">
      <c r="A44" s="740"/>
      <c r="B44" s="741"/>
      <c r="C44" s="738"/>
      <c r="D44" s="738"/>
      <c r="E44" s="553"/>
      <c r="F44" s="554"/>
      <c r="G44" s="555"/>
      <c r="H44" s="738"/>
      <c r="I44" s="523"/>
      <c r="J44" s="704">
        <f t="shared" si="0"/>
        <v>0</v>
      </c>
      <c r="K44" s="742" t="str">
        <f>IF(AND(ISNUMBER($F44),OR(G44="No",G44="Yes")),VLOOKUP($F44&amp;$G44,'Backend (to be hidden)'!$DM$1:$DN$22,2,FALSE)*$D44,"")</f>
        <v/>
      </c>
      <c r="L44" s="743" t="str">
        <f t="shared" si="2"/>
        <v/>
      </c>
      <c r="M44" s="744" t="str">
        <f t="shared" ca="1" si="1"/>
        <v/>
      </c>
      <c r="N44" s="19"/>
    </row>
    <row r="45" spans="1:16" s="6" customFormat="1" ht="15" customHeight="1" outlineLevel="1">
      <c r="A45" s="740"/>
      <c r="B45" s="741"/>
      <c r="C45" s="738"/>
      <c r="D45" s="738"/>
      <c r="E45" s="553"/>
      <c r="F45" s="554"/>
      <c r="G45" s="555"/>
      <c r="H45" s="738"/>
      <c r="I45" s="523"/>
      <c r="J45" s="704">
        <f t="shared" si="0"/>
        <v>0</v>
      </c>
      <c r="K45" s="742" t="str">
        <f>IF(AND(ISNUMBER($F45),OR(G45="No",G45="Yes")),VLOOKUP($F45&amp;$G45,'Backend (to be hidden)'!$DM$1:$DN$22,2,FALSE)*$D45,"")</f>
        <v/>
      </c>
      <c r="L45" s="743" t="str">
        <f t="shared" si="2"/>
        <v/>
      </c>
      <c r="M45" s="744" t="str">
        <f t="shared" ca="1" si="1"/>
        <v/>
      </c>
      <c r="N45" s="347"/>
    </row>
    <row r="46" spans="1:16" s="6" customFormat="1" ht="15" customHeight="1" outlineLevel="1">
      <c r="A46" s="740"/>
      <c r="B46" s="741"/>
      <c r="C46" s="738"/>
      <c r="D46" s="738"/>
      <c r="E46" s="553"/>
      <c r="F46" s="554"/>
      <c r="G46" s="555"/>
      <c r="H46" s="738"/>
      <c r="I46" s="523"/>
      <c r="J46" s="704">
        <f t="shared" si="0"/>
        <v>0</v>
      </c>
      <c r="K46" s="742" t="str">
        <f>IF(AND(ISNUMBER($F46),OR(G46="No",G46="Yes")),VLOOKUP($F46&amp;$G46,'Backend (to be hidden)'!$DM$1:$DN$22,2,FALSE)*$D46,"")</f>
        <v/>
      </c>
      <c r="L46" s="743" t="str">
        <f t="shared" si="2"/>
        <v/>
      </c>
      <c r="M46" s="744" t="str">
        <f t="shared" ca="1" si="1"/>
        <v/>
      </c>
      <c r="N46" s="347"/>
    </row>
    <row r="47" spans="1:16" s="6" customFormat="1" ht="15" customHeight="1" outlineLevel="1">
      <c r="A47" s="740"/>
      <c r="B47" s="741"/>
      <c r="C47" s="738"/>
      <c r="D47" s="738"/>
      <c r="E47" s="553"/>
      <c r="F47" s="554"/>
      <c r="G47" s="555"/>
      <c r="H47" s="738"/>
      <c r="I47" s="523"/>
      <c r="J47" s="704">
        <f t="shared" si="0"/>
        <v>0</v>
      </c>
      <c r="K47" s="742" t="str">
        <f>IF(AND(ISNUMBER($F47),OR(G47="No",G47="Yes")),VLOOKUP($F47&amp;$G47,'Backend (to be hidden)'!$DM$1:$DN$22,2,FALSE)*$D47,"")</f>
        <v/>
      </c>
      <c r="L47" s="743" t="str">
        <f t="shared" si="2"/>
        <v/>
      </c>
      <c r="M47" s="744" t="str">
        <f t="shared" ca="1" si="1"/>
        <v/>
      </c>
      <c r="N47" s="17"/>
    </row>
    <row r="48" spans="1:16" s="28" customFormat="1" ht="15" customHeight="1" outlineLevel="1">
      <c r="A48" s="29"/>
      <c r="B48" s="34"/>
      <c r="C48" s="264" t="s">
        <v>1025</v>
      </c>
      <c r="D48" s="171">
        <f>SUM(D40:D47)</f>
        <v>510</v>
      </c>
      <c r="E48" s="262"/>
      <c r="F48" s="681"/>
      <c r="G48" s="262"/>
      <c r="H48" s="262"/>
      <c r="I48" s="264" t="s">
        <v>1026</v>
      </c>
      <c r="J48" s="171">
        <f>SUMPRODUCT(D40:D47,H40:H47)</f>
        <v>147600</v>
      </c>
      <c r="K48" s="417">
        <f>SUM(K40:K47)</f>
        <v>141802.9</v>
      </c>
      <c r="L48" s="418">
        <f>IF(AND(J48&gt;0,K48&gt;0),1-($J48/$K48),"")</f>
        <v>-4.0881392411579842E-2</v>
      </c>
      <c r="M48" s="155"/>
      <c r="N48" s="17"/>
      <c r="O48" s="6"/>
      <c r="P48" s="6"/>
    </row>
    <row r="49" spans="1:16" s="28" customFormat="1" ht="15" customHeight="1" outlineLevel="1">
      <c r="A49" s="29"/>
      <c r="B49" s="34"/>
      <c r="C49" s="589" t="str">
        <f>_xlfn.CONCAT("Rows can be added to this table. See instructions in row ",ROW($C$8),".")</f>
        <v>Rows can be added to this table. See instructions in row 8.</v>
      </c>
      <c r="D49" s="262"/>
      <c r="E49" s="264"/>
      <c r="F49" s="262"/>
      <c r="G49" s="262"/>
      <c r="H49" s="262"/>
      <c r="I49" s="264"/>
      <c r="J49" s="153"/>
      <c r="K49" s="153"/>
      <c r="L49" s="153"/>
      <c r="M49" s="155"/>
      <c r="N49" s="19"/>
      <c r="O49" s="6"/>
      <c r="P49" s="6"/>
    </row>
    <row r="50" spans="1:16" s="28" customFormat="1" ht="15" customHeight="1" outlineLevel="1">
      <c r="A50" s="29"/>
      <c r="B50" s="34"/>
      <c r="C50" s="681"/>
      <c r="D50" s="262"/>
      <c r="E50" s="264"/>
      <c r="F50" s="262"/>
      <c r="G50" s="262"/>
      <c r="H50" s="262"/>
      <c r="I50" s="264"/>
      <c r="J50" s="153"/>
      <c r="K50" s="153"/>
      <c r="L50" s="153"/>
      <c r="M50" s="155"/>
      <c r="N50" s="17"/>
      <c r="O50" s="6"/>
      <c r="P50" s="6"/>
    </row>
    <row r="51" spans="1:16" s="28" customFormat="1" ht="30" customHeight="1" outlineLevel="1">
      <c r="A51" s="29"/>
      <c r="B51" s="34"/>
      <c r="C51" s="992" t="s">
        <v>1568</v>
      </c>
      <c r="D51" s="992"/>
      <c r="E51" s="992"/>
      <c r="F51" s="992"/>
      <c r="G51" s="992"/>
      <c r="H51" s="992"/>
      <c r="I51" s="992"/>
      <c r="J51" s="992"/>
      <c r="K51" s="992"/>
      <c r="L51" s="992"/>
      <c r="M51" s="673"/>
      <c r="N51" s="17"/>
      <c r="O51" s="6"/>
      <c r="P51" s="6"/>
    </row>
    <row r="52" spans="1:16" s="28" customFormat="1" ht="69.95" customHeight="1" outlineLevel="1">
      <c r="A52" s="29"/>
      <c r="B52" s="34"/>
      <c r="C52" s="988"/>
      <c r="D52" s="989"/>
      <c r="E52" s="989"/>
      <c r="F52" s="989"/>
      <c r="G52" s="989"/>
      <c r="H52" s="989"/>
      <c r="I52" s="989"/>
      <c r="J52" s="989"/>
      <c r="K52" s="989"/>
      <c r="L52" s="990"/>
      <c r="M52" s="673"/>
      <c r="N52" s="17"/>
      <c r="O52" s="6"/>
      <c r="P52" s="6"/>
    </row>
    <row r="53" spans="1:16" s="28" customFormat="1" ht="15" customHeight="1">
      <c r="A53" s="29"/>
      <c r="B53" s="34"/>
      <c r="C53" s="674"/>
      <c r="D53" s="674"/>
      <c r="E53" s="674"/>
      <c r="F53" s="674"/>
      <c r="G53" s="674"/>
      <c r="H53" s="674"/>
      <c r="I53" s="674"/>
      <c r="J53" s="674"/>
      <c r="K53" s="675"/>
      <c r="L53" s="484"/>
      <c r="M53" s="673"/>
      <c r="N53" s="17"/>
      <c r="O53" s="6"/>
      <c r="P53" s="6"/>
    </row>
    <row r="54" spans="1:16" s="28" customFormat="1" ht="15" customHeight="1">
      <c r="B54" s="158"/>
      <c r="C54" s="340" t="s">
        <v>1088</v>
      </c>
      <c r="D54" s="333"/>
      <c r="E54" s="333"/>
      <c r="F54" s="333"/>
      <c r="G54" s="333"/>
      <c r="H54" s="333"/>
      <c r="I54" s="333"/>
      <c r="J54" s="333"/>
      <c r="K54" s="389" t="s">
        <v>1243</v>
      </c>
      <c r="L54" s="670" t="str">
        <f>IF(ISBLANK('7. ILCs - Design '!$I$106),"",'7. ILCs - Design '!$I$106)</f>
        <v>Yes</v>
      </c>
      <c r="M54" s="673"/>
      <c r="N54" s="17"/>
      <c r="O54" s="6"/>
      <c r="P54" s="6"/>
    </row>
    <row r="55" spans="1:16" s="28" customFormat="1" ht="8.1" customHeight="1">
      <c r="A55" s="29"/>
      <c r="B55" s="34"/>
      <c r="C55" s="674"/>
      <c r="D55" s="674"/>
      <c r="E55" s="674"/>
      <c r="F55" s="674"/>
      <c r="G55" s="674"/>
      <c r="H55" s="674"/>
      <c r="I55" s="674"/>
      <c r="J55" s="674"/>
      <c r="K55" s="675"/>
      <c r="L55" s="675"/>
      <c r="M55" s="673"/>
      <c r="N55" s="17"/>
      <c r="O55" s="6"/>
      <c r="P55" s="6"/>
    </row>
    <row r="56" spans="1:16" s="28" customFormat="1" ht="15" customHeight="1">
      <c r="B56" s="65"/>
      <c r="C56" s="801" t="s">
        <v>1226</v>
      </c>
      <c r="D56" s="801"/>
      <c r="E56" s="801"/>
      <c r="F56" s="801"/>
      <c r="G56" s="801"/>
      <c r="H56" s="801"/>
      <c r="I56" s="801"/>
      <c r="J56" s="801"/>
      <c r="K56" s="801"/>
      <c r="L56" s="801"/>
      <c r="M56" s="50"/>
      <c r="N56" s="17"/>
      <c r="O56" s="6"/>
      <c r="P56" s="6"/>
    </row>
    <row r="57" spans="1:16" s="28" customFormat="1" ht="15" customHeight="1">
      <c r="B57" s="65"/>
      <c r="C57" s="681" t="s">
        <v>1240</v>
      </c>
      <c r="D57" s="671"/>
      <c r="E57" s="671"/>
      <c r="F57" s="671"/>
      <c r="G57" s="671"/>
      <c r="H57" s="671"/>
      <c r="I57" s="671"/>
      <c r="J57" s="671"/>
      <c r="K57" s="671"/>
      <c r="L57" s="671"/>
      <c r="M57" s="50"/>
      <c r="N57" s="17"/>
      <c r="O57" s="6"/>
      <c r="P57" s="6"/>
    </row>
    <row r="58" spans="1:16" s="28" customFormat="1" ht="8.1" customHeight="1" outlineLevel="1">
      <c r="B58" s="65"/>
      <c r="C58" s="681"/>
      <c r="D58" s="671"/>
      <c r="E58" s="671"/>
      <c r="F58" s="671"/>
      <c r="G58" s="671"/>
      <c r="H58" s="671"/>
      <c r="I58" s="671"/>
      <c r="J58" s="671"/>
      <c r="K58" s="671"/>
      <c r="L58" s="671"/>
      <c r="M58" s="50"/>
      <c r="N58" s="17"/>
      <c r="O58" s="6"/>
      <c r="P58" s="6"/>
    </row>
    <row r="59" spans="1:16" s="28" customFormat="1" ht="15" customHeight="1" outlineLevel="1">
      <c r="B59" s="65"/>
      <c r="C59" s="348"/>
      <c r="D59" s="348"/>
      <c r="E59" s="348"/>
      <c r="F59" s="348"/>
      <c r="G59" s="984" t="s">
        <v>1040</v>
      </c>
      <c r="H59" s="984"/>
      <c r="I59" s="348"/>
      <c r="J59" s="348"/>
      <c r="K59" s="348"/>
      <c r="L59" s="348"/>
      <c r="M59" s="50"/>
      <c r="N59" s="17"/>
      <c r="O59" s="6"/>
      <c r="P59" s="6"/>
    </row>
    <row r="60" spans="1:16" s="28" customFormat="1" ht="8.1" customHeight="1" outlineLevel="1">
      <c r="A60" s="29"/>
      <c r="B60" s="34"/>
      <c r="C60" s="339"/>
      <c r="D60" s="339"/>
      <c r="E60" s="339"/>
      <c r="F60" s="339"/>
      <c r="G60" s="339"/>
      <c r="H60" s="339"/>
      <c r="I60" s="339"/>
      <c r="J60" s="339"/>
      <c r="K60" s="339"/>
      <c r="L60" s="339"/>
      <c r="M60" s="673"/>
      <c r="N60" s="17"/>
      <c r="O60" s="6"/>
      <c r="P60" s="6"/>
    </row>
    <row r="61" spans="1:16" s="28" customFormat="1" ht="15" customHeight="1" outlineLevel="1">
      <c r="A61" s="29"/>
      <c r="B61" s="34"/>
      <c r="C61" s="801" t="str">
        <f>_xlfn.CONCAT("As-Built reporting of transportation data is preferred to be provided using this form. If providing Manual Calculations, at a minimum, the required fields (white cells) in Row ",ROW(C98)," below must be included in the reported information. Manual Calculations must be submitted in both .pdf and excel format. ")</f>
        <v xml:space="preserve">As-Built reporting of transportation data is preferred to be provided using this form. If providing Manual Calculations, at a minimum, the required fields (white cells) in Row 98 below must be included in the reported information. Manual Calculations must be submitted in both .pdf and excel format. </v>
      </c>
      <c r="D61" s="801"/>
      <c r="E61" s="801"/>
      <c r="F61" s="801"/>
      <c r="G61" s="801"/>
      <c r="H61" s="801"/>
      <c r="I61" s="801"/>
      <c r="J61" s="801"/>
      <c r="K61" s="801"/>
      <c r="L61" s="801"/>
      <c r="M61" s="673"/>
      <c r="N61" s="17"/>
      <c r="O61" s="6"/>
      <c r="P61" s="6"/>
    </row>
    <row r="62" spans="1:16" s="28" customFormat="1" ht="15" customHeight="1" outlineLevel="1">
      <c r="A62" s="29"/>
      <c r="B62" s="34"/>
      <c r="C62" s="801"/>
      <c r="D62" s="801"/>
      <c r="E62" s="801"/>
      <c r="F62" s="801"/>
      <c r="G62" s="801"/>
      <c r="H62" s="801"/>
      <c r="I62" s="801"/>
      <c r="J62" s="801"/>
      <c r="K62" s="801"/>
      <c r="L62" s="801"/>
      <c r="M62" s="673"/>
      <c r="N62" s="17"/>
      <c r="O62" s="6"/>
      <c r="P62" s="6"/>
    </row>
    <row r="63" spans="1:16" s="28" customFormat="1" ht="15" customHeight="1" outlineLevel="1">
      <c r="A63" s="29"/>
      <c r="B63" s="34"/>
      <c r="C63" s="262"/>
      <c r="D63" s="262"/>
      <c r="E63" s="264"/>
      <c r="F63" s="262"/>
      <c r="G63" s="262"/>
      <c r="H63" s="262"/>
      <c r="I63" s="262" t="s">
        <v>1041</v>
      </c>
      <c r="J63" s="985" t="s">
        <v>1045</v>
      </c>
      <c r="K63" s="986"/>
      <c r="L63" s="987"/>
      <c r="M63" s="673"/>
      <c r="N63" s="209"/>
      <c r="O63" s="6"/>
      <c r="P63" s="6"/>
    </row>
    <row r="64" spans="1:16" s="28" customFormat="1" ht="8.1" customHeight="1" outlineLevel="1">
      <c r="A64" s="29"/>
      <c r="B64" s="34"/>
      <c r="C64" s="262"/>
      <c r="D64" s="262"/>
      <c r="E64" s="264"/>
      <c r="F64" s="262"/>
      <c r="G64" s="262"/>
      <c r="H64" s="262"/>
      <c r="I64" s="262"/>
      <c r="J64" s="262"/>
      <c r="K64" s="262"/>
      <c r="L64" s="262"/>
      <c r="M64" s="684"/>
      <c r="N64" s="209"/>
      <c r="O64" s="6"/>
      <c r="P64" s="6"/>
    </row>
    <row r="65" spans="1:16" s="28" customFormat="1" ht="15" customHeight="1" outlineLevel="1">
      <c r="A65" s="29"/>
      <c r="B65" s="34"/>
      <c r="C65" s="733" t="s">
        <v>1570</v>
      </c>
      <c r="D65" s="262"/>
      <c r="E65" s="264"/>
      <c r="F65" s="262"/>
      <c r="G65" s="262"/>
      <c r="H65" s="262"/>
      <c r="I65" s="262"/>
      <c r="J65" s="262"/>
      <c r="K65" s="262"/>
      <c r="L65" s="262"/>
      <c r="M65" s="673"/>
      <c r="N65" s="17"/>
      <c r="O65" s="6"/>
      <c r="P65" s="6"/>
    </row>
    <row r="66" spans="1:16" s="28" customFormat="1" ht="15" customHeight="1" outlineLevel="1">
      <c r="A66" s="29"/>
      <c r="B66" s="34"/>
      <c r="C66" s="504" t="s">
        <v>1048</v>
      </c>
      <c r="D66" s="733" t="s">
        <v>1573</v>
      </c>
      <c r="E66" s="262"/>
      <c r="F66" s="262"/>
      <c r="G66" s="262"/>
      <c r="H66" s="262"/>
      <c r="I66" s="262"/>
      <c r="J66" s="262"/>
      <c r="K66" s="262"/>
      <c r="L66" s="262"/>
      <c r="M66" s="732"/>
      <c r="N66" s="17"/>
      <c r="O66" s="6"/>
      <c r="P66" s="6"/>
    </row>
    <row r="67" spans="1:16" s="28" customFormat="1" ht="15" customHeight="1" outlineLevel="1">
      <c r="A67" s="29"/>
      <c r="B67" s="34"/>
      <c r="C67" s="504" t="s">
        <v>1048</v>
      </c>
      <c r="D67" s="733" t="s">
        <v>1571</v>
      </c>
      <c r="E67" s="262"/>
      <c r="F67" s="262"/>
      <c r="G67" s="262"/>
      <c r="H67" s="262"/>
      <c r="I67" s="262"/>
      <c r="J67" s="262"/>
      <c r="K67" s="262"/>
      <c r="L67" s="262"/>
      <c r="M67" s="732"/>
      <c r="N67" s="17"/>
      <c r="O67" s="6"/>
      <c r="P67" s="6"/>
    </row>
    <row r="68" spans="1:16" s="28" customFormat="1" ht="15" customHeight="1" outlineLevel="1">
      <c r="A68" s="29"/>
      <c r="B68" s="34"/>
      <c r="C68" s="504" t="s">
        <v>1048</v>
      </c>
      <c r="D68" s="733" t="s">
        <v>1651</v>
      </c>
      <c r="E68" s="262"/>
      <c r="F68" s="262"/>
      <c r="G68" s="262"/>
      <c r="H68" s="262"/>
      <c r="I68" s="262"/>
      <c r="J68" s="262"/>
      <c r="K68" s="262"/>
      <c r="L68" s="262"/>
      <c r="M68" s="732"/>
      <c r="N68" s="17"/>
      <c r="O68" s="6"/>
      <c r="P68" s="6"/>
    </row>
    <row r="69" spans="1:16" s="28" customFormat="1" ht="15" customHeight="1" outlineLevel="1">
      <c r="A69" s="29"/>
      <c r="B69" s="34"/>
      <c r="C69" s="504" t="s">
        <v>1048</v>
      </c>
      <c r="D69" s="733" t="s">
        <v>1574</v>
      </c>
      <c r="E69" s="262"/>
      <c r="F69" s="262"/>
      <c r="G69" s="262"/>
      <c r="H69" s="262"/>
      <c r="I69" s="262"/>
      <c r="J69" s="262"/>
      <c r="K69" s="262"/>
      <c r="L69" s="262"/>
      <c r="M69" s="732"/>
      <c r="N69" s="17"/>
      <c r="O69" s="6"/>
      <c r="P69" s="6"/>
    </row>
    <row r="70" spans="1:16" s="28" customFormat="1" ht="8.1" customHeight="1" outlineLevel="1">
      <c r="A70" s="29"/>
      <c r="B70" s="34"/>
      <c r="C70" s="262"/>
      <c r="D70" s="262"/>
      <c r="E70" s="264"/>
      <c r="F70" s="262"/>
      <c r="G70" s="262"/>
      <c r="H70" s="262"/>
      <c r="I70" s="262"/>
      <c r="J70" s="262"/>
      <c r="K70" s="262"/>
      <c r="L70" s="262"/>
      <c r="M70" s="673"/>
      <c r="N70" s="17"/>
      <c r="O70" s="6"/>
      <c r="P70" s="6"/>
    </row>
    <row r="71" spans="1:16" s="28" customFormat="1" ht="15" customHeight="1" outlineLevel="1">
      <c r="A71" s="29"/>
      <c r="B71" s="34"/>
      <c r="C71" s="681" t="s">
        <v>1227</v>
      </c>
      <c r="D71" s="262"/>
      <c r="E71" s="264"/>
      <c r="F71" s="262"/>
      <c r="G71" s="262"/>
      <c r="H71" s="262"/>
      <c r="I71" s="262"/>
      <c r="J71" s="262"/>
      <c r="K71" s="262"/>
      <c r="L71" s="262"/>
      <c r="M71" s="673"/>
      <c r="N71" s="17"/>
      <c r="O71" s="6"/>
      <c r="P71" s="6"/>
    </row>
    <row r="72" spans="1:16" s="28" customFormat="1" ht="30" customHeight="1" outlineLevel="1">
      <c r="A72" s="29"/>
      <c r="B72" s="34"/>
      <c r="C72" s="920" t="s">
        <v>1062</v>
      </c>
      <c r="D72" s="920"/>
      <c r="E72" s="941"/>
      <c r="F72" s="909" t="s">
        <v>1241</v>
      </c>
      <c r="G72" s="907"/>
      <c r="H72" s="920" t="s">
        <v>1062</v>
      </c>
      <c r="I72" s="920"/>
      <c r="J72" s="941"/>
      <c r="K72" s="909" t="s">
        <v>1242</v>
      </c>
      <c r="L72" s="907"/>
      <c r="M72" s="673"/>
      <c r="N72" s="17"/>
      <c r="O72" s="6"/>
      <c r="P72" s="6"/>
    </row>
    <row r="73" spans="1:16" s="28" customFormat="1" ht="15" customHeight="1" outlineLevel="1">
      <c r="A73" s="29"/>
      <c r="B73" s="34"/>
      <c r="C73" s="978" t="s">
        <v>1230</v>
      </c>
      <c r="D73" s="979"/>
      <c r="E73" s="980"/>
      <c r="F73" s="981">
        <f>'Backend (to be hidden)'!DT2</f>
        <v>0.11005621733585688</v>
      </c>
      <c r="G73" s="982"/>
      <c r="H73" s="978" t="s">
        <v>1228</v>
      </c>
      <c r="I73" s="979"/>
      <c r="J73" s="980"/>
      <c r="K73" s="981">
        <f>'Backend (to be hidden)'!DT5</f>
        <v>0.24482024974150957</v>
      </c>
      <c r="L73" s="982"/>
      <c r="M73" s="673"/>
      <c r="N73" s="17"/>
      <c r="O73" s="6"/>
      <c r="P73" s="6"/>
    </row>
    <row r="74" spans="1:16" s="28" customFormat="1" ht="15" customHeight="1" outlineLevel="1">
      <c r="A74" s="29"/>
      <c r="B74" s="34"/>
      <c r="C74" s="978" t="s">
        <v>1116</v>
      </c>
      <c r="D74" s="979"/>
      <c r="E74" s="980"/>
      <c r="F74" s="981">
        <f>'Backend (to be hidden)'!DT3</f>
        <v>0.1273996392754996</v>
      </c>
      <c r="G74" s="982"/>
      <c r="H74" s="978" t="s">
        <v>1229</v>
      </c>
      <c r="I74" s="979"/>
      <c r="J74" s="980"/>
      <c r="K74" s="981">
        <f>'Backend (to be hidden)'!DT4</f>
        <v>0.80653980752405952</v>
      </c>
      <c r="L74" s="982"/>
      <c r="M74" s="673"/>
      <c r="N74" s="17"/>
      <c r="O74" s="6"/>
      <c r="P74" s="6"/>
    </row>
    <row r="75" spans="1:16" s="28" customFormat="1" ht="15" customHeight="1" outlineLevel="1">
      <c r="A75" s="29"/>
      <c r="B75" s="34"/>
      <c r="C75" s="978" t="s">
        <v>1073</v>
      </c>
      <c r="D75" s="979"/>
      <c r="E75" s="980"/>
      <c r="F75" s="981">
        <f>'Backend (to be hidden)'!DT6</f>
        <v>0.74384950673759453</v>
      </c>
      <c r="G75" s="982"/>
      <c r="H75" s="262"/>
      <c r="I75" s="262"/>
      <c r="J75" s="262"/>
      <c r="K75" s="262"/>
      <c r="L75" s="262"/>
      <c r="M75" s="673"/>
      <c r="N75" s="17"/>
      <c r="O75" s="6"/>
      <c r="P75" s="6"/>
    </row>
    <row r="76" spans="1:16" s="28" customFormat="1" ht="15" customHeight="1" outlineLevel="1">
      <c r="A76" s="29"/>
      <c r="B76" s="34"/>
      <c r="C76" s="978" t="s">
        <v>1072</v>
      </c>
      <c r="D76" s="979"/>
      <c r="E76" s="980"/>
      <c r="F76" s="981">
        <f>'Backend (to be hidden)'!DT7</f>
        <v>5.2740710882868115E-2</v>
      </c>
      <c r="G76" s="982"/>
      <c r="H76" s="262"/>
      <c r="I76" s="262"/>
      <c r="J76" s="262"/>
      <c r="K76" s="262"/>
      <c r="L76" s="262"/>
      <c r="M76" s="673"/>
      <c r="N76" s="17"/>
      <c r="O76" s="6"/>
      <c r="P76" s="6"/>
    </row>
    <row r="77" spans="1:16" s="28" customFormat="1" ht="15" customHeight="1" outlineLevel="1">
      <c r="A77" s="29"/>
      <c r="B77" s="34"/>
      <c r="C77" s="978" t="s">
        <v>1064</v>
      </c>
      <c r="D77" s="979"/>
      <c r="E77" s="980"/>
      <c r="F77" s="981">
        <f>'Backend (to be hidden)'!DT8</f>
        <v>1.4383830240782216E-2</v>
      </c>
      <c r="G77" s="982"/>
      <c r="H77" s="262"/>
      <c r="I77" s="262"/>
      <c r="J77" s="262"/>
      <c r="K77" s="262"/>
      <c r="L77" s="262"/>
      <c r="M77" s="673"/>
      <c r="N77" s="17"/>
      <c r="O77" s="6"/>
      <c r="P77" s="6"/>
    </row>
    <row r="78" spans="1:16" s="28" customFormat="1" ht="8.1" customHeight="1" outlineLevel="1">
      <c r="B78" s="65"/>
      <c r="C78" s="338"/>
      <c r="D78" s="339"/>
      <c r="E78" s="339"/>
      <c r="F78" s="339"/>
      <c r="G78" s="339"/>
      <c r="H78" s="339"/>
      <c r="I78" s="339"/>
      <c r="J78" s="339"/>
      <c r="K78" s="339"/>
      <c r="L78" s="339"/>
      <c r="M78" s="50"/>
      <c r="N78" s="17"/>
      <c r="O78" s="6"/>
      <c r="P78" s="6"/>
    </row>
    <row r="79" spans="1:16" s="28" customFormat="1" ht="14.25" customHeight="1" outlineLevel="1">
      <c r="A79" s="29"/>
      <c r="B79" s="34"/>
      <c r="C79" s="803" t="s">
        <v>1090</v>
      </c>
      <c r="D79" s="803"/>
      <c r="E79" s="803"/>
      <c r="F79" s="803"/>
      <c r="G79" s="803"/>
      <c r="H79" s="803"/>
      <c r="I79" s="803"/>
      <c r="J79" s="803"/>
      <c r="K79" s="803"/>
      <c r="L79" s="803"/>
      <c r="M79" s="673"/>
      <c r="N79" s="17"/>
      <c r="O79" s="6"/>
      <c r="P79" s="6"/>
    </row>
    <row r="80" spans="1:16" s="28" customFormat="1" ht="8.1" customHeight="1" outlineLevel="1">
      <c r="A80" s="29"/>
      <c r="B80" s="34"/>
      <c r="C80" s="339"/>
      <c r="D80" s="339"/>
      <c r="E80" s="339"/>
      <c r="F80" s="339"/>
      <c r="G80" s="339"/>
      <c r="H80" s="339"/>
      <c r="I80" s="339"/>
      <c r="J80" s="339"/>
      <c r="K80" s="339"/>
      <c r="L80" s="339"/>
      <c r="M80" s="673"/>
      <c r="N80" s="17"/>
      <c r="O80" s="6"/>
      <c r="P80" s="6"/>
    </row>
    <row r="81" spans="1:16" s="28" customFormat="1" ht="66.75" customHeight="1" outlineLevel="1">
      <c r="A81" s="29"/>
      <c r="B81" s="34"/>
      <c r="C81" s="679" t="s">
        <v>1052</v>
      </c>
      <c r="D81" s="679" t="s">
        <v>1480</v>
      </c>
      <c r="E81" s="679" t="s">
        <v>1300</v>
      </c>
      <c r="F81" s="679" t="s">
        <v>1301</v>
      </c>
      <c r="G81" s="679" t="s">
        <v>1083</v>
      </c>
      <c r="H81" s="679" t="s">
        <v>1094</v>
      </c>
      <c r="I81" s="983" t="s">
        <v>1323</v>
      </c>
      <c r="J81" s="965"/>
      <c r="K81" s="965"/>
      <c r="L81" s="966"/>
      <c r="M81" s="673"/>
      <c r="N81" s="17"/>
      <c r="O81" s="6"/>
      <c r="P81" s="6"/>
    </row>
    <row r="82" spans="1:16" s="28" customFormat="1" ht="15" customHeight="1" outlineLevel="1">
      <c r="A82" s="29"/>
      <c r="B82" s="34"/>
      <c r="C82" s="670" t="str">
        <f>'7. ILCs - Design '!C115</f>
        <v>Concrete</v>
      </c>
      <c r="D82" s="414">
        <f>'7. ILCs - Design '!I115</f>
        <v>28000</v>
      </c>
      <c r="E82" s="414">
        <f>'7. ILCs - Design '!H115</f>
        <v>6108.1200621400567</v>
      </c>
      <c r="F82" s="558">
        <f>IF(SUMIFS($L$100:$L$104,$H$100:$H$104,C82)=0,"",SUMIFS($L$100:$L$104,$H$100:$H$104,C82))</f>
        <v>3576.8270634153487</v>
      </c>
      <c r="G82" s="670">
        <f>IF(AND(ISNUMBER(F82),ISNUMBER(E82)),F82-E82,"")</f>
        <v>-2531.292998724708</v>
      </c>
      <c r="H82" s="369" t="str">
        <f>IF(AND(COUNTA($L$91:$L$94,$J$63)&gt;4,ISNUMBER(F82)),IF(G82&lt;0,"Yes","No"),"Enter data")</f>
        <v>Yes</v>
      </c>
      <c r="I82" s="761" t="s">
        <v>1633</v>
      </c>
      <c r="J82" s="762"/>
      <c r="K82" s="762"/>
      <c r="L82" s="763"/>
      <c r="M82" s="673"/>
      <c r="N82" s="687"/>
      <c r="O82" s="6"/>
      <c r="P82" s="6"/>
    </row>
    <row r="83" spans="1:16" s="28" customFormat="1" ht="15" customHeight="1" outlineLevel="1">
      <c r="B83" s="65"/>
      <c r="C83" s="670" t="str">
        <f>'7. ILCs - Design '!C116</f>
        <v xml:space="preserve">Mineral Wool Insulation </v>
      </c>
      <c r="D83" s="414">
        <f>'7. ILCs - Design '!I116</f>
        <v>500</v>
      </c>
      <c r="E83" s="414">
        <f>'7. ILCs - Design '!H116</f>
        <v>367.23037461226437</v>
      </c>
      <c r="F83" s="558">
        <f>IF(SUMIFS($L$100:$L$104,$H$100:$H$104,C83)=0,"",SUMIFS($L$100:$L$104,$H$100:$H$104,C83))</f>
        <v>955.49729456624709</v>
      </c>
      <c r="G83" s="670">
        <f>IF(AND(ISNUMBER(F83),ISNUMBER(E83)),F83-E83,"")</f>
        <v>588.26691995398278</v>
      </c>
      <c r="H83" s="369" t="str">
        <f>IF(AND(COUNTA($L$91:$L$94,$J$63)&gt;4,ISNUMBER(F83)),IF(G83&lt;0,"Yes","No"),"Enter data")</f>
        <v>No</v>
      </c>
      <c r="I83" s="761" t="s">
        <v>1634</v>
      </c>
      <c r="J83" s="762"/>
      <c r="K83" s="762"/>
      <c r="L83" s="763"/>
      <c r="M83" s="673"/>
      <c r="N83" s="17"/>
      <c r="O83" s="6"/>
      <c r="P83" s="6"/>
    </row>
    <row r="84" spans="1:16" s="28" customFormat="1" ht="15" customHeight="1" outlineLevel="1">
      <c r="B84" s="65"/>
      <c r="C84" s="670" t="str">
        <f>'7. ILCs - Design '!C117</f>
        <v>Rebar</v>
      </c>
      <c r="D84" s="414">
        <f>'7. ILCs - Design '!I117</f>
        <v>1200</v>
      </c>
      <c r="E84" s="414">
        <f>'7. ILCs - Design '!H117</f>
        <v>1224.1012487075479</v>
      </c>
      <c r="F84" s="558">
        <f>IF(SUMIFS($L$100:$L$104,$H$100:$H$104,C84)=0,"",SUMIFS($L$100:$L$104,$H$100:$H$104,C84))</f>
        <v>1223.0365370447962</v>
      </c>
      <c r="G84" s="670">
        <f>IF(AND(ISNUMBER(F84),ISNUMBER(E84)),F84-E84,"")</f>
        <v>-1.0647116627517335</v>
      </c>
      <c r="H84" s="369" t="str">
        <f>IF(AND(COUNTA($L$91:$L$94,$J$63)&gt;4,ISNUMBER(F84)),IF(G84&lt;0,"Yes","No"),"Enter data")</f>
        <v>Yes</v>
      </c>
      <c r="I84" s="761" t="s">
        <v>1634</v>
      </c>
      <c r="J84" s="762"/>
      <c r="K84" s="762"/>
      <c r="L84" s="763"/>
      <c r="M84" s="673"/>
      <c r="N84" s="17"/>
      <c r="O84" s="6"/>
      <c r="P84" s="6"/>
    </row>
    <row r="85" spans="1:16" s="28" customFormat="1" ht="15" customHeight="1" outlineLevel="1">
      <c r="B85" s="65"/>
      <c r="C85" s="670" t="str">
        <f>'7. ILCs - Design '!C118</f>
        <v>5/8" Type X Gypsum Wall Board</v>
      </c>
      <c r="D85" s="414">
        <f>'7. ILCs - Design '!I118</f>
        <v>2100</v>
      </c>
      <c r="E85" s="414">
        <f>'7. ILCs - Design '!H118</f>
        <v>3672.3037461226436</v>
      </c>
      <c r="F85" s="558">
        <f>IF(SUMIFS($L$100:$L$104,$H$100:$H$104,C85)=0,"",SUMIFS($L$100:$L$104,$H$100:$H$104,C85))</f>
        <v>1910.9945891324942</v>
      </c>
      <c r="G85" s="670">
        <f>IF(AND(ISNUMBER(F85),ISNUMBER(E85)),F85-E85,"")</f>
        <v>-1761.3091569901494</v>
      </c>
      <c r="H85" s="369" t="str">
        <f>IF(AND(COUNTA($L$91:$L$94,$J$63)&gt;4,ISNUMBER(F85)),IF(G85&lt;0,"Yes","No"),"Enter data")</f>
        <v>Yes</v>
      </c>
      <c r="I85" s="761" t="s">
        <v>1635</v>
      </c>
      <c r="J85" s="762"/>
      <c r="K85" s="762"/>
      <c r="L85" s="763"/>
      <c r="M85" s="673"/>
      <c r="N85" s="17"/>
      <c r="O85" s="6"/>
      <c r="P85" s="6"/>
    </row>
    <row r="86" spans="1:16" s="28" customFormat="1" ht="15" customHeight="1" outlineLevel="1">
      <c r="B86" s="65"/>
      <c r="C86" s="670" t="str">
        <f>'7. ILCs - Design '!C119</f>
        <v xml:space="preserve">Softwood Lumber, kiln dried </v>
      </c>
      <c r="D86" s="414">
        <f>'7. ILCs - Design '!I119</f>
        <v>3000</v>
      </c>
      <c r="E86" s="414">
        <f>'7. ILCs - Design '!H119</f>
        <v>4204.1880960914868</v>
      </c>
      <c r="F86" s="558">
        <f>IF(SUMIFS($L$100:$L$104,$H$100:$H$104,C86)=0,"",SUMIFS($L$100:$L$104,$H$100:$H$104,C86))</f>
        <v>96.784776902887145</v>
      </c>
      <c r="G86" s="670">
        <f>IF(AND(ISNUMBER(F86),ISNUMBER(E86)),F86-E86,"")</f>
        <v>-4107.4033191886001</v>
      </c>
      <c r="H86" s="369" t="str">
        <f>IF(AND(COUNTA($L$91:$L$94,$J$63)&gt;4,ISNUMBER(F86)),IF(G86&lt;0,"Yes","No"),"Enter data")</f>
        <v>Yes</v>
      </c>
      <c r="I86" s="761" t="s">
        <v>1636</v>
      </c>
      <c r="J86" s="762"/>
      <c r="K86" s="762"/>
      <c r="L86" s="763"/>
      <c r="M86" s="673"/>
      <c r="N86" s="17"/>
      <c r="O86" s="6"/>
      <c r="P86" s="6"/>
    </row>
    <row r="87" spans="1:16" s="28" customFormat="1" ht="30" customHeight="1" outlineLevel="1">
      <c r="B87" s="65"/>
      <c r="C87" s="682" t="s">
        <v>1569</v>
      </c>
      <c r="D87" s="691">
        <f>SUM(D82:D86)/'4. Results &amp; Compliance'!$E$48</f>
        <v>3.3709716852036692E-2</v>
      </c>
      <c r="E87" s="691">
        <f>SUM(E82:E86)/'4. Results &amp; Compliance'!$E$48</f>
        <v>1.5087949598310462E-2</v>
      </c>
      <c r="F87" s="692">
        <f>SUM(F82:F86)/'4. Results &amp; Compliance'!$E$48</f>
        <v>7.5199212667539806E-3</v>
      </c>
      <c r="G87" s="268"/>
      <c r="H87" s="268"/>
      <c r="I87" s="268"/>
      <c r="J87" s="268"/>
      <c r="K87" s="268"/>
      <c r="L87" s="268"/>
      <c r="M87" s="684"/>
      <c r="N87" s="17"/>
      <c r="O87" s="6"/>
      <c r="P87" s="6"/>
    </row>
    <row r="88" spans="1:16" s="28" customFormat="1" ht="8.1" customHeight="1" outlineLevel="1">
      <c r="B88" s="65"/>
      <c r="C88" s="339"/>
      <c r="D88" s="339"/>
      <c r="E88" s="339"/>
      <c r="F88" s="339"/>
      <c r="G88" s="339"/>
      <c r="H88" s="262"/>
      <c r="I88" s="408"/>
      <c r="J88" s="408"/>
      <c r="K88" s="408"/>
      <c r="L88" s="408"/>
      <c r="M88" s="673"/>
      <c r="N88" s="17"/>
      <c r="O88" s="6"/>
      <c r="P88" s="6"/>
    </row>
    <row r="89" spans="1:16" s="28" customFormat="1" ht="15" customHeight="1" outlineLevel="1">
      <c r="B89" s="65"/>
      <c r="C89" s="803" t="s">
        <v>1093</v>
      </c>
      <c r="D89" s="803"/>
      <c r="E89" s="803"/>
      <c r="F89" s="803"/>
      <c r="G89" s="803"/>
      <c r="H89" s="803"/>
      <c r="I89" s="803"/>
      <c r="J89" s="803"/>
      <c r="K89" s="803"/>
      <c r="L89" s="803"/>
      <c r="M89" s="147"/>
      <c r="N89" s="17"/>
      <c r="O89" s="547"/>
      <c r="P89" s="6"/>
    </row>
    <row r="90" spans="1:16" s="28" customFormat="1" ht="8.1" customHeight="1" outlineLevel="1">
      <c r="A90" s="29"/>
      <c r="B90" s="34"/>
      <c r="C90" s="262"/>
      <c r="D90" s="262"/>
      <c r="E90" s="264"/>
      <c r="F90" s="262"/>
      <c r="G90" s="262"/>
      <c r="H90" s="262"/>
      <c r="I90" s="264"/>
      <c r="J90" s="153"/>
      <c r="K90" s="153"/>
      <c r="L90" s="153"/>
      <c r="M90" s="673"/>
      <c r="N90" s="17"/>
      <c r="O90" s="6"/>
      <c r="P90" s="6"/>
    </row>
    <row r="91" spans="1:16" s="28" customFormat="1" ht="15" customHeight="1" outlineLevel="1">
      <c r="A91" s="29"/>
      <c r="B91" s="34"/>
      <c r="C91" s="262"/>
      <c r="D91" s="262"/>
      <c r="E91" s="264"/>
      <c r="F91" s="262"/>
      <c r="G91" s="262"/>
      <c r="H91" s="262"/>
      <c r="I91" s="262"/>
      <c r="J91" s="262"/>
      <c r="K91" s="262" t="s">
        <v>1113</v>
      </c>
      <c r="L91" s="669" t="s">
        <v>1637</v>
      </c>
      <c r="M91" s="673"/>
      <c r="N91" s="17"/>
      <c r="O91" s="6"/>
      <c r="P91" s="6"/>
    </row>
    <row r="92" spans="1:16" s="28" customFormat="1" ht="15" customHeight="1" outlineLevel="1">
      <c r="A92" s="29"/>
      <c r="B92" s="34"/>
      <c r="C92" s="262"/>
      <c r="D92" s="262"/>
      <c r="E92" s="264"/>
      <c r="F92" s="262"/>
      <c r="G92" s="262"/>
      <c r="H92" s="262"/>
      <c r="I92" s="262"/>
      <c r="J92" s="262"/>
      <c r="K92" s="262" t="s">
        <v>1114</v>
      </c>
      <c r="L92" s="669" t="s">
        <v>1331</v>
      </c>
      <c r="M92" s="673"/>
      <c r="N92" s="17"/>
      <c r="O92" s="6"/>
      <c r="P92" s="6"/>
    </row>
    <row r="93" spans="1:16" s="28" customFormat="1" ht="15" customHeight="1" outlineLevel="1">
      <c r="A93" s="29"/>
      <c r="B93" s="34"/>
      <c r="C93" s="262"/>
      <c r="D93" s="262"/>
      <c r="E93" s="264"/>
      <c r="F93" s="262"/>
      <c r="G93" s="262"/>
      <c r="H93" s="262"/>
      <c r="I93" s="262"/>
      <c r="J93" s="262"/>
      <c r="K93" s="262" t="s">
        <v>1115</v>
      </c>
      <c r="L93" s="669" t="s">
        <v>1638</v>
      </c>
      <c r="M93" s="673"/>
      <c r="N93" s="17"/>
      <c r="O93" s="6"/>
      <c r="P93" s="6"/>
    </row>
    <row r="94" spans="1:16" s="28" customFormat="1" ht="15" customHeight="1" outlineLevel="1">
      <c r="A94" s="29"/>
      <c r="B94" s="34"/>
      <c r="C94" s="262"/>
      <c r="D94" s="262"/>
      <c r="E94" s="264"/>
      <c r="F94" s="262"/>
      <c r="G94" s="262"/>
      <c r="H94" s="262"/>
      <c r="I94" s="262"/>
      <c r="J94" s="262"/>
      <c r="K94" s="489" t="s">
        <v>1299</v>
      </c>
      <c r="L94" s="523">
        <v>46878</v>
      </c>
      <c r="M94" s="673"/>
      <c r="N94" s="17"/>
      <c r="O94" s="6"/>
      <c r="P94" s="6"/>
    </row>
    <row r="95" spans="1:16" s="28" customFormat="1" ht="8.1" customHeight="1" outlineLevel="1">
      <c r="A95" s="29"/>
      <c r="B95" s="34"/>
      <c r="C95" s="262"/>
      <c r="D95" s="262"/>
      <c r="E95" s="262"/>
      <c r="F95" s="262"/>
      <c r="G95" s="262"/>
      <c r="H95" s="262"/>
      <c r="I95" s="262"/>
      <c r="J95" s="262"/>
      <c r="K95" s="672"/>
      <c r="L95" s="672"/>
      <c r="M95" s="673"/>
      <c r="N95" s="17"/>
      <c r="O95" s="6"/>
      <c r="P95" s="6"/>
    </row>
    <row r="96" spans="1:16" s="28" customFormat="1" ht="15" customHeight="1" outlineLevel="1">
      <c r="B96" s="65"/>
      <c r="C96" s="803" t="s">
        <v>1089</v>
      </c>
      <c r="D96" s="803"/>
      <c r="E96" s="803"/>
      <c r="F96" s="803"/>
      <c r="G96" s="803"/>
      <c r="H96" s="803"/>
      <c r="I96" s="803"/>
      <c r="J96" s="803"/>
      <c r="K96" s="803"/>
      <c r="L96" s="803"/>
      <c r="M96" s="147"/>
      <c r="N96" s="17"/>
      <c r="O96" s="547"/>
      <c r="P96" s="6"/>
    </row>
    <row r="97" spans="1:16" s="28" customFormat="1" ht="8.1" customHeight="1" outlineLevel="1">
      <c r="B97" s="65"/>
      <c r="C97" s="262"/>
      <c r="D97" s="262"/>
      <c r="E97" s="262"/>
      <c r="F97" s="262"/>
      <c r="G97" s="262"/>
      <c r="H97" s="262"/>
      <c r="I97" s="262"/>
      <c r="J97" s="262"/>
      <c r="K97" s="262"/>
      <c r="L97" s="262"/>
      <c r="M97" s="147"/>
      <c r="N97" s="17"/>
      <c r="O97" s="547"/>
      <c r="P97" s="6"/>
    </row>
    <row r="98" spans="1:16" s="28" customFormat="1" ht="63.75" customHeight="1" outlineLevel="1">
      <c r="A98" s="29"/>
      <c r="B98" s="151"/>
      <c r="C98" s="679" t="s">
        <v>1056</v>
      </c>
      <c r="D98" s="679" t="s">
        <v>1058</v>
      </c>
      <c r="E98" s="679" t="s">
        <v>1059</v>
      </c>
      <c r="F98" s="679" t="s">
        <v>1372</v>
      </c>
      <c r="G98" s="679" t="s">
        <v>1373</v>
      </c>
      <c r="H98" s="679" t="s">
        <v>1052</v>
      </c>
      <c r="I98" s="679" t="s">
        <v>1086</v>
      </c>
      <c r="J98" s="679" t="s">
        <v>1333</v>
      </c>
      <c r="K98" s="679" t="s">
        <v>1332</v>
      </c>
      <c r="L98" s="679" t="s">
        <v>1061</v>
      </c>
      <c r="M98" s="673"/>
      <c r="N98" s="19"/>
      <c r="O98" s="6"/>
      <c r="P98" s="6"/>
    </row>
    <row r="99" spans="1:16" s="28" customFormat="1" ht="15" customHeight="1" outlineLevel="1">
      <c r="A99" s="29"/>
      <c r="B99" s="34"/>
      <c r="C99" s="670" t="s">
        <v>1120</v>
      </c>
      <c r="D99" s="670" t="s">
        <v>1122</v>
      </c>
      <c r="E99" s="670" t="s">
        <v>1123</v>
      </c>
      <c r="F99" s="419" t="s">
        <v>1371</v>
      </c>
      <c r="G99" s="670" t="s">
        <v>1124</v>
      </c>
      <c r="H99" s="670" t="s">
        <v>1125</v>
      </c>
      <c r="I99" s="420" t="s">
        <v>1126</v>
      </c>
      <c r="J99" s="670" t="s">
        <v>1118</v>
      </c>
      <c r="K99" s="670" t="s">
        <v>1119</v>
      </c>
      <c r="L99" s="670" t="s">
        <v>1310</v>
      </c>
      <c r="M99" s="673"/>
      <c r="N99" s="17"/>
      <c r="O99" s="6"/>
      <c r="P99" s="6"/>
    </row>
    <row r="100" spans="1:16" s="6" customFormat="1" ht="30" customHeight="1" outlineLevel="1">
      <c r="A100" s="740"/>
      <c r="B100" s="741"/>
      <c r="C100" s="738" t="s">
        <v>1639</v>
      </c>
      <c r="D100" s="554" t="s">
        <v>1640</v>
      </c>
      <c r="E100" s="554" t="s">
        <v>1641</v>
      </c>
      <c r="F100" s="523">
        <v>45877</v>
      </c>
      <c r="G100" s="738">
        <v>15</v>
      </c>
      <c r="H100" s="738" t="s">
        <v>1355</v>
      </c>
      <c r="I100" s="556" t="s">
        <v>1116</v>
      </c>
      <c r="J100" s="738">
        <v>300</v>
      </c>
      <c r="K100" s="738">
        <v>50</v>
      </c>
      <c r="L100" s="704">
        <f>IF(COUNTA(C100:K100)&gt;8,IF(OR(I100='Backend (to be hidden)'!$DP$2,I100='Backend (to be hidden)'!$DP$3,I100='Backend (to be hidden)'!$DP$6,I100='Backend (to be hidden)'!$DP$7,I100='Backend (to be hidden)'!$DP$8),VLOOKUP(I100,'Backend (to be hidden)'!$DP$2:$DU$8,5,FALSE)*J100*K100,VLOOKUP(I100,'Backend (to be hidden)'!$DP$2:$DU$8,5,FALSE)*G100*K100),"")</f>
        <v>1910.9945891324942</v>
      </c>
      <c r="M100" s="744"/>
      <c r="N100" s="17"/>
    </row>
    <row r="101" spans="1:16" s="6" customFormat="1" ht="30" customHeight="1" outlineLevel="1">
      <c r="A101" s="740"/>
      <c r="B101" s="741"/>
      <c r="C101" s="738" t="s">
        <v>1642</v>
      </c>
      <c r="D101" s="554" t="s">
        <v>1640</v>
      </c>
      <c r="E101" s="554" t="s">
        <v>1643</v>
      </c>
      <c r="F101" s="523">
        <v>45879</v>
      </c>
      <c r="G101" s="738">
        <v>6</v>
      </c>
      <c r="H101" s="738" t="s">
        <v>1356</v>
      </c>
      <c r="I101" s="556" t="s">
        <v>1248</v>
      </c>
      <c r="J101" s="738">
        <v>170</v>
      </c>
      <c r="K101" s="738">
        <v>20</v>
      </c>
      <c r="L101" s="704">
        <f>IF(COUNTA(C101:K101)&gt;8,IF(OR(I101='Backend (to be hidden)'!$DP$2,I101='Backend (to be hidden)'!$DP$3,I101='Backend (to be hidden)'!$DP$6,I101='Backend (to be hidden)'!$DP$7,I101='Backend (to be hidden)'!$DP$8),VLOOKUP(I101,'Backend (to be hidden)'!$DP$2:$DU$8,5,FALSE)*J101*K101,VLOOKUP(I101,'Backend (to be hidden)'!$DP$2:$DU$8,5,FALSE)*G101*K101),"")</f>
        <v>96.784776902887145</v>
      </c>
      <c r="M101" s="744"/>
      <c r="N101" s="17"/>
    </row>
    <row r="102" spans="1:16" s="6" customFormat="1" ht="30" customHeight="1" outlineLevel="1">
      <c r="A102" s="740"/>
      <c r="B102" s="741"/>
      <c r="C102" s="738" t="s">
        <v>1644</v>
      </c>
      <c r="D102" s="554" t="s">
        <v>1640</v>
      </c>
      <c r="E102" s="554" t="s">
        <v>1645</v>
      </c>
      <c r="F102" s="523">
        <v>45818</v>
      </c>
      <c r="G102" s="738">
        <v>10</v>
      </c>
      <c r="H102" s="738" t="s">
        <v>1354</v>
      </c>
      <c r="I102" s="556" t="s">
        <v>1116</v>
      </c>
      <c r="J102" s="738">
        <v>120</v>
      </c>
      <c r="K102" s="738">
        <v>80</v>
      </c>
      <c r="L102" s="704">
        <f>IF(COUNTA(C102:K102)&gt;8,IF(OR(I102='Backend (to be hidden)'!$DP$2,I102='Backend (to be hidden)'!$DP$3,I102='Backend (to be hidden)'!$DP$6,I102='Backend (to be hidden)'!$DP$7,I102='Backend (to be hidden)'!$DP$8),VLOOKUP(I102,'Backend (to be hidden)'!$DP$2:$DU$8,5,FALSE)*J102*K102,VLOOKUP(I102,'Backend (to be hidden)'!$DP$2:$DU$8,5,FALSE)*G102*K102),"")</f>
        <v>1223.0365370447962</v>
      </c>
      <c r="M102" s="744"/>
      <c r="N102" s="17"/>
      <c r="O102" s="485"/>
    </row>
    <row r="103" spans="1:16" s="6" customFormat="1" ht="30" customHeight="1" outlineLevel="1">
      <c r="A103" s="740"/>
      <c r="B103" s="741"/>
      <c r="C103" s="738" t="s">
        <v>1646</v>
      </c>
      <c r="D103" s="554" t="s">
        <v>1647</v>
      </c>
      <c r="E103" s="554" t="s">
        <v>1648</v>
      </c>
      <c r="F103" s="523">
        <v>45809</v>
      </c>
      <c r="G103" s="738">
        <v>230</v>
      </c>
      <c r="H103" s="738" t="s">
        <v>245</v>
      </c>
      <c r="I103" s="556" t="s">
        <v>1063</v>
      </c>
      <c r="J103" s="738">
        <v>3250</v>
      </c>
      <c r="K103" s="738">
        <v>10</v>
      </c>
      <c r="L103" s="704">
        <f>IF(COUNTA(C103:K103)&gt;8,IF(OR(I103='Backend (to be hidden)'!$DP$2,I103='Backend (to be hidden)'!$DP$3,I103='Backend (to be hidden)'!$DP$6,I103='Backend (to be hidden)'!$DP$7,I103='Backend (to be hidden)'!$DP$8),VLOOKUP(I103,'Backend (to be hidden)'!$DP$2:$DU$8,5,FALSE)*J103*K103,VLOOKUP(I103,'Backend (to be hidden)'!$DP$2:$DU$8,5,FALSE)*G103*K103),"")</f>
        <v>3576.8270634153487</v>
      </c>
      <c r="M103" s="744"/>
      <c r="N103" s="17"/>
    </row>
    <row r="104" spans="1:16" s="6" customFormat="1" ht="30" customHeight="1" outlineLevel="1">
      <c r="A104" s="740"/>
      <c r="B104" s="741"/>
      <c r="C104" s="738" t="s">
        <v>1649</v>
      </c>
      <c r="D104" s="554" t="s">
        <v>1640</v>
      </c>
      <c r="E104" s="554" t="s">
        <v>1650</v>
      </c>
      <c r="F104" s="523">
        <v>45879</v>
      </c>
      <c r="G104" s="738">
        <v>6</v>
      </c>
      <c r="H104" s="738" t="s">
        <v>1353</v>
      </c>
      <c r="I104" s="556" t="s">
        <v>1116</v>
      </c>
      <c r="J104" s="738">
        <v>75</v>
      </c>
      <c r="K104" s="738">
        <v>100</v>
      </c>
      <c r="L104" s="704">
        <f>IF(COUNTA(C104:K104)&gt;8,IF(OR(I104='Backend (to be hidden)'!$DP$2,I104='Backend (to be hidden)'!$DP$3,I104='Backend (to be hidden)'!$DP$6,I104='Backend (to be hidden)'!$DP$7,I104='Backend (to be hidden)'!$DP$8),VLOOKUP(I104,'Backend (to be hidden)'!$DP$2:$DU$8,5,FALSE)*J104*K104,VLOOKUP(I104,'Backend (to be hidden)'!$DP$2:$DU$8,5,FALSE)*G104*K104),"")</f>
        <v>955.49729456624709</v>
      </c>
      <c r="M104" s="744"/>
      <c r="N104" s="17"/>
    </row>
    <row r="105" spans="1:16" s="28" customFormat="1" ht="15" customHeight="1" outlineLevel="1">
      <c r="A105" s="29"/>
      <c r="B105" s="141"/>
      <c r="C105" s="589" t="str">
        <f>_xlfn.CONCAT("Rows can be added to this table. See instructions in row ",ROW($C$8),".")</f>
        <v>Rows can be added to this table. See instructions in row 8.</v>
      </c>
      <c r="D105" s="262"/>
      <c r="E105" s="262"/>
      <c r="F105" s="262"/>
      <c r="G105" s="262"/>
      <c r="H105" s="262"/>
      <c r="I105" s="262"/>
      <c r="J105" s="262"/>
      <c r="K105" s="262"/>
      <c r="L105" s="262"/>
      <c r="M105" s="155"/>
      <c r="N105" s="17"/>
      <c r="O105" s="6"/>
      <c r="P105" s="6"/>
    </row>
    <row r="106" spans="1:16" s="28" customFormat="1" ht="15" customHeight="1">
      <c r="A106" s="29"/>
      <c r="B106" s="141"/>
      <c r="C106" s="262"/>
      <c r="D106" s="262"/>
      <c r="E106" s="262"/>
      <c r="F106" s="262"/>
      <c r="G106" s="262"/>
      <c r="H106" s="262"/>
      <c r="I106" s="262"/>
      <c r="J106" s="262"/>
      <c r="K106" s="262"/>
      <c r="L106" s="262"/>
      <c r="M106" s="155"/>
      <c r="N106" s="17"/>
      <c r="O106" s="6"/>
      <c r="P106" s="6"/>
    </row>
    <row r="107" spans="1:16" s="28" customFormat="1" ht="15" customHeight="1">
      <c r="B107" s="158"/>
      <c r="C107" s="340" t="s">
        <v>563</v>
      </c>
      <c r="D107" s="340"/>
      <c r="E107" s="340"/>
      <c r="F107" s="340"/>
      <c r="G107" s="340"/>
      <c r="H107" s="340"/>
      <c r="I107" s="340"/>
      <c r="J107" s="340"/>
      <c r="K107" s="389" t="s">
        <v>1243</v>
      </c>
      <c r="L107" s="670" t="str">
        <f>IF(ISBLANK('7. ILCs - Design '!$I$129),"",'7. ILCs - Design '!$I$129)</f>
        <v>Yes</v>
      </c>
      <c r="M107" s="147"/>
      <c r="N107" s="17"/>
      <c r="O107" s="6"/>
      <c r="P107" s="6"/>
    </row>
    <row r="108" spans="1:16" s="28" customFormat="1" ht="8.1" customHeight="1">
      <c r="A108" s="29"/>
      <c r="B108" s="34"/>
      <c r="C108" s="674"/>
      <c r="D108" s="674"/>
      <c r="E108" s="674"/>
      <c r="F108" s="674"/>
      <c r="G108" s="674"/>
      <c r="H108" s="674"/>
      <c r="I108" s="674"/>
      <c r="J108" s="674"/>
      <c r="K108" s="675"/>
      <c r="L108" s="675"/>
      <c r="M108" s="673"/>
      <c r="N108" s="17"/>
      <c r="O108" s="6"/>
      <c r="P108" s="6"/>
    </row>
    <row r="109" spans="1:16" s="28" customFormat="1" ht="26.25" customHeight="1">
      <c r="B109" s="65"/>
      <c r="C109" s="821" t="s">
        <v>1580</v>
      </c>
      <c r="D109" s="821"/>
      <c r="E109" s="821"/>
      <c r="F109" s="821"/>
      <c r="G109" s="821"/>
      <c r="H109" s="821"/>
      <c r="I109" s="821"/>
      <c r="J109" s="821"/>
      <c r="K109" s="821"/>
      <c r="L109" s="821"/>
      <c r="M109" s="50"/>
      <c r="N109" s="347"/>
      <c r="O109" s="6"/>
      <c r="P109" s="6"/>
    </row>
    <row r="110" spans="1:16" s="28" customFormat="1" ht="15" customHeight="1">
      <c r="B110" s="65"/>
      <c r="C110" s="681" t="s">
        <v>1240</v>
      </c>
      <c r="D110" s="676"/>
      <c r="E110" s="676"/>
      <c r="F110" s="676"/>
      <c r="G110" s="676"/>
      <c r="H110" s="676"/>
      <c r="I110" s="676"/>
      <c r="J110" s="676"/>
      <c r="K110" s="676"/>
      <c r="L110" s="676"/>
      <c r="M110" s="50"/>
      <c r="N110" s="347"/>
      <c r="O110" s="6"/>
      <c r="P110" s="6"/>
    </row>
    <row r="111" spans="1:16" s="28" customFormat="1" ht="15" customHeight="1" outlineLevel="1">
      <c r="B111" s="65"/>
      <c r="C111" s="338"/>
      <c r="D111" s="339"/>
      <c r="E111" s="339"/>
      <c r="F111" s="339"/>
      <c r="G111" s="339"/>
      <c r="H111" s="339"/>
      <c r="I111" s="339"/>
      <c r="J111" s="339"/>
      <c r="K111" s="339"/>
      <c r="L111" s="339"/>
      <c r="M111" s="50"/>
      <c r="N111" s="17"/>
      <c r="O111" s="6"/>
      <c r="P111" s="6"/>
    </row>
    <row r="112" spans="1:16" s="28" customFormat="1" ht="15" customHeight="1" outlineLevel="1">
      <c r="B112" s="65"/>
      <c r="C112" s="348"/>
      <c r="D112" s="348"/>
      <c r="E112" s="348"/>
      <c r="F112" s="348"/>
      <c r="G112" s="984" t="s">
        <v>1040</v>
      </c>
      <c r="H112" s="984"/>
      <c r="I112" s="348"/>
      <c r="J112" s="348"/>
      <c r="K112" s="348"/>
      <c r="L112" s="348"/>
      <c r="M112" s="50"/>
      <c r="N112" s="17"/>
      <c r="O112" s="6"/>
      <c r="P112" s="6"/>
    </row>
    <row r="113" spans="1:16" s="28" customFormat="1" ht="8.1" customHeight="1" outlineLevel="1">
      <c r="A113" s="29"/>
      <c r="B113" s="34"/>
      <c r="C113" s="339"/>
      <c r="D113" s="339"/>
      <c r="E113" s="339"/>
      <c r="F113" s="339"/>
      <c r="G113" s="339"/>
      <c r="H113" s="339"/>
      <c r="I113" s="339"/>
      <c r="J113" s="339"/>
      <c r="K113" s="339"/>
      <c r="L113" s="339"/>
      <c r="M113" s="673"/>
      <c r="N113" s="17"/>
      <c r="O113" s="6"/>
      <c r="P113" s="6"/>
    </row>
    <row r="114" spans="1:16" s="28" customFormat="1" ht="15" customHeight="1" outlineLevel="1">
      <c r="A114" s="29"/>
      <c r="B114" s="34"/>
      <c r="C114" s="801" t="s">
        <v>1325</v>
      </c>
      <c r="D114" s="801"/>
      <c r="E114" s="801"/>
      <c r="F114" s="801"/>
      <c r="G114" s="801"/>
      <c r="H114" s="801"/>
      <c r="I114" s="801"/>
      <c r="J114" s="801"/>
      <c r="K114" s="801"/>
      <c r="L114" s="801"/>
      <c r="M114" s="673"/>
      <c r="N114" s="17"/>
      <c r="O114" s="6"/>
      <c r="P114" s="6"/>
    </row>
    <row r="115" spans="1:16" s="28" customFormat="1" ht="15" customHeight="1" outlineLevel="1">
      <c r="A115" s="29"/>
      <c r="B115" s="34"/>
      <c r="C115" s="801"/>
      <c r="D115" s="801"/>
      <c r="E115" s="801"/>
      <c r="F115" s="801"/>
      <c r="G115" s="801"/>
      <c r="H115" s="801"/>
      <c r="I115" s="801"/>
      <c r="J115" s="801"/>
      <c r="K115" s="801"/>
      <c r="L115" s="801"/>
      <c r="M115" s="673"/>
      <c r="N115" s="17"/>
      <c r="O115" s="6"/>
      <c r="P115" s="6"/>
    </row>
    <row r="116" spans="1:16" s="28" customFormat="1" ht="15" customHeight="1" outlineLevel="1">
      <c r="A116" s="29"/>
      <c r="B116" s="34"/>
      <c r="C116" s="262"/>
      <c r="D116" s="262"/>
      <c r="E116" s="264"/>
      <c r="F116" s="264"/>
      <c r="G116" s="262"/>
      <c r="H116" s="262"/>
      <c r="I116" s="262" t="s">
        <v>1215</v>
      </c>
      <c r="J116" s="985" t="s">
        <v>1045</v>
      </c>
      <c r="K116" s="986"/>
      <c r="L116" s="987"/>
      <c r="M116" s="673"/>
      <c r="N116" s="17"/>
      <c r="O116" s="6"/>
      <c r="P116" s="6"/>
    </row>
    <row r="117" spans="1:16" s="28" customFormat="1" ht="8.1" customHeight="1" outlineLevel="1">
      <c r="A117" s="29"/>
      <c r="B117" s="34"/>
      <c r="C117" s="262"/>
      <c r="D117" s="262"/>
      <c r="E117" s="264"/>
      <c r="F117" s="264"/>
      <c r="G117" s="262"/>
      <c r="H117" s="262"/>
      <c r="I117" s="262"/>
      <c r="J117" s="262"/>
      <c r="K117" s="262"/>
      <c r="L117" s="262"/>
      <c r="M117" s="684"/>
      <c r="N117" s="17"/>
      <c r="O117" s="6"/>
      <c r="P117" s="6"/>
    </row>
    <row r="118" spans="1:16" s="28" customFormat="1" ht="15.75" outlineLevel="1">
      <c r="A118" s="29"/>
      <c r="B118" s="34"/>
      <c r="C118" s="801" t="s">
        <v>1570</v>
      </c>
      <c r="D118" s="801"/>
      <c r="E118" s="801"/>
      <c r="F118" s="693"/>
      <c r="G118" s="693"/>
      <c r="H118" s="693"/>
      <c r="I118" s="693"/>
      <c r="J118" s="693"/>
      <c r="K118" s="693"/>
      <c r="L118" s="262"/>
      <c r="M118" s="673"/>
      <c r="N118" s="17"/>
      <c r="O118" s="6"/>
      <c r="P118" s="6"/>
    </row>
    <row r="119" spans="1:16" s="28" customFormat="1" ht="15.75" customHeight="1" outlineLevel="1">
      <c r="A119" s="29"/>
      <c r="B119" s="34"/>
      <c r="C119" s="504" t="s">
        <v>1048</v>
      </c>
      <c r="D119" s="901" t="s">
        <v>1573</v>
      </c>
      <c r="E119" s="801"/>
      <c r="F119" s="801"/>
      <c r="G119" s="801"/>
      <c r="H119" s="801"/>
      <c r="I119" s="801"/>
      <c r="J119" s="801"/>
      <c r="K119" s="801"/>
      <c r="L119" s="801"/>
      <c r="M119" s="684"/>
      <c r="N119" s="17"/>
      <c r="O119" s="6"/>
      <c r="P119" s="6"/>
    </row>
    <row r="120" spans="1:16" s="28" customFormat="1" ht="15.75" customHeight="1" outlineLevel="1">
      <c r="A120" s="29"/>
      <c r="B120" s="34"/>
      <c r="C120" s="504" t="s">
        <v>1048</v>
      </c>
      <c r="D120" s="901" t="s">
        <v>1571</v>
      </c>
      <c r="E120" s="801"/>
      <c r="F120" s="801"/>
      <c r="G120" s="801"/>
      <c r="H120" s="801"/>
      <c r="I120" s="801"/>
      <c r="J120" s="801"/>
      <c r="K120" s="801"/>
      <c r="L120" s="801"/>
      <c r="M120" s="684"/>
      <c r="N120" s="17"/>
      <c r="O120" s="6"/>
      <c r="P120" s="6"/>
    </row>
    <row r="121" spans="1:16" s="28" customFormat="1" ht="15.75" outlineLevel="1">
      <c r="A121" s="29"/>
      <c r="B121" s="34"/>
      <c r="C121" s="504" t="s">
        <v>1048</v>
      </c>
      <c r="D121" s="901" t="s">
        <v>1572</v>
      </c>
      <c r="E121" s="801"/>
      <c r="F121" s="801"/>
      <c r="G121" s="801"/>
      <c r="H121" s="801"/>
      <c r="I121" s="801"/>
      <c r="J121" s="801"/>
      <c r="K121" s="801"/>
      <c r="L121" s="801"/>
      <c r="M121" s="684"/>
      <c r="N121" s="17"/>
      <c r="O121" s="6"/>
      <c r="P121" s="6"/>
    </row>
    <row r="122" spans="1:16" s="28" customFormat="1" ht="15.75" outlineLevel="1">
      <c r="A122" s="29"/>
      <c r="B122" s="34"/>
      <c r="C122" s="504" t="s">
        <v>1048</v>
      </c>
      <c r="D122" s="901" t="s">
        <v>1574</v>
      </c>
      <c r="E122" s="801"/>
      <c r="F122" s="801"/>
      <c r="G122" s="801"/>
      <c r="H122" s="801"/>
      <c r="I122" s="801"/>
      <c r="J122" s="801"/>
      <c r="K122" s="801"/>
      <c r="L122" s="801"/>
      <c r="M122" s="684"/>
      <c r="N122" s="17"/>
      <c r="O122" s="6"/>
      <c r="P122" s="6"/>
    </row>
    <row r="123" spans="1:16" s="28" customFormat="1" ht="8.1" customHeight="1" outlineLevel="1">
      <c r="A123" s="29"/>
      <c r="B123" s="34"/>
      <c r="C123" s="685"/>
      <c r="D123" s="685"/>
      <c r="E123" s="685"/>
      <c r="F123" s="685"/>
      <c r="G123" s="685"/>
      <c r="H123" s="685"/>
      <c r="I123" s="685"/>
      <c r="J123" s="685"/>
      <c r="K123" s="685"/>
      <c r="L123" s="685"/>
      <c r="M123" s="684"/>
      <c r="N123" s="17"/>
      <c r="O123" s="6"/>
      <c r="P123" s="6"/>
    </row>
    <row r="124" spans="1:16" s="28" customFormat="1" ht="30" customHeight="1" outlineLevel="1">
      <c r="A124" s="29"/>
      <c r="B124" s="34"/>
      <c r="C124" s="679" t="s">
        <v>1170</v>
      </c>
      <c r="D124" s="909" t="s">
        <v>1231</v>
      </c>
      <c r="E124" s="907"/>
      <c r="F124" s="679" t="s">
        <v>1137</v>
      </c>
      <c r="G124" s="262"/>
      <c r="H124" s="679" t="s">
        <v>1170</v>
      </c>
      <c r="I124" s="909" t="s">
        <v>1231</v>
      </c>
      <c r="J124" s="907"/>
      <c r="K124" s="679" t="s">
        <v>1137</v>
      </c>
      <c r="L124" s="262"/>
      <c r="M124" s="673"/>
      <c r="N124" s="17"/>
      <c r="O124" s="6"/>
      <c r="P124" s="6"/>
    </row>
    <row r="125" spans="1:16" s="28" customFormat="1" ht="15" customHeight="1" outlineLevel="1">
      <c r="A125" s="29"/>
      <c r="B125" s="34"/>
      <c r="C125" s="670" t="s">
        <v>1181</v>
      </c>
      <c r="D125" s="972">
        <v>1.0999999999999999E-2</v>
      </c>
      <c r="E125" s="973"/>
      <c r="F125" s="670" t="s">
        <v>1183</v>
      </c>
      <c r="G125" s="262"/>
      <c r="H125" s="670" t="s">
        <v>1187</v>
      </c>
      <c r="I125" s="972">
        <v>2.6890000000000001</v>
      </c>
      <c r="J125" s="973"/>
      <c r="K125" s="670" t="s">
        <v>1190</v>
      </c>
      <c r="L125" s="262"/>
      <c r="M125" s="673"/>
      <c r="N125" s="17"/>
      <c r="O125" s="6"/>
      <c r="P125" s="6"/>
    </row>
    <row r="126" spans="1:16" s="28" customFormat="1" ht="15" customHeight="1" outlineLevel="1">
      <c r="A126" s="29"/>
      <c r="B126" s="34"/>
      <c r="C126" s="670" t="s">
        <v>1184</v>
      </c>
      <c r="D126" s="972">
        <v>0.18</v>
      </c>
      <c r="E126" s="973"/>
      <c r="F126" s="670" t="s">
        <v>1183</v>
      </c>
      <c r="G126" s="262"/>
      <c r="H126" s="670" t="s">
        <v>1188</v>
      </c>
      <c r="I126" s="972">
        <v>2.3199999999999998</v>
      </c>
      <c r="J126" s="973"/>
      <c r="K126" s="670" t="s">
        <v>1190</v>
      </c>
      <c r="L126" s="262"/>
      <c r="M126" s="673"/>
      <c r="N126" s="17"/>
      <c r="O126" s="6"/>
      <c r="P126" s="6"/>
    </row>
    <row r="127" spans="1:16" s="28" customFormat="1" ht="15" customHeight="1" outlineLevel="1">
      <c r="A127" s="29"/>
      <c r="B127" s="34"/>
      <c r="C127" s="670" t="s">
        <v>1186</v>
      </c>
      <c r="D127" s="972">
        <v>1.544</v>
      </c>
      <c r="E127" s="973"/>
      <c r="F127" s="670" t="s">
        <v>1190</v>
      </c>
      <c r="G127" s="262"/>
      <c r="H127" s="670" t="s">
        <v>1189</v>
      </c>
      <c r="I127" s="972">
        <v>2.569</v>
      </c>
      <c r="J127" s="973"/>
      <c r="K127" s="670" t="s">
        <v>1190</v>
      </c>
      <c r="L127" s="262"/>
      <c r="M127" s="673"/>
      <c r="N127" s="17"/>
      <c r="O127" s="6"/>
      <c r="P127" s="6"/>
    </row>
    <row r="128" spans="1:16" s="28" customFormat="1" ht="15" customHeight="1" outlineLevel="1">
      <c r="A128" s="29"/>
      <c r="B128" s="34"/>
      <c r="C128" s="706" t="str">
        <f>_xlfn.CONCAT("See data in row ",ROW($C$72)," for transportaiton emissions factors.")</f>
        <v>See data in row 72 for transportaiton emissions factors.</v>
      </c>
      <c r="D128" s="264"/>
      <c r="E128" s="264"/>
      <c r="F128" s="262"/>
      <c r="G128" s="262"/>
      <c r="H128" s="262"/>
      <c r="I128" s="262"/>
      <c r="J128" s="262"/>
      <c r="K128" s="262"/>
      <c r="L128" s="262"/>
      <c r="M128" s="673"/>
      <c r="N128" s="17"/>
      <c r="O128" s="6"/>
      <c r="P128" s="6"/>
    </row>
    <row r="129" spans="1:16" s="28" customFormat="1" ht="8.1" customHeight="1" outlineLevel="1">
      <c r="A129" s="29"/>
      <c r="B129" s="34"/>
      <c r="C129" s="262"/>
      <c r="D129" s="262"/>
      <c r="E129" s="264"/>
      <c r="F129" s="264"/>
      <c r="G129" s="262"/>
      <c r="H129" s="262"/>
      <c r="I129" s="262"/>
      <c r="J129" s="262"/>
      <c r="K129" s="262"/>
      <c r="L129" s="262"/>
      <c r="M129" s="673"/>
      <c r="N129" s="17"/>
      <c r="O129" s="6"/>
      <c r="P129" s="6"/>
    </row>
    <row r="130" spans="1:16" s="28" customFormat="1" ht="15" customHeight="1" outlineLevel="1">
      <c r="A130" s="29"/>
      <c r="B130" s="34"/>
      <c r="C130" s="803" t="s">
        <v>1166</v>
      </c>
      <c r="D130" s="803"/>
      <c r="E130" s="803"/>
      <c r="F130" s="803"/>
      <c r="G130" s="803"/>
      <c r="H130" s="803"/>
      <c r="I130" s="803"/>
      <c r="J130" s="803"/>
      <c r="K130" s="803"/>
      <c r="L130" s="803"/>
      <c r="M130" s="673"/>
      <c r="N130" s="17"/>
      <c r="O130" s="6"/>
      <c r="P130" s="6"/>
    </row>
    <row r="131" spans="1:16" s="28" customFormat="1" ht="15" customHeight="1" outlineLevel="1">
      <c r="A131" s="29"/>
      <c r="B131" s="34"/>
      <c r="C131" s="339"/>
      <c r="D131" s="339"/>
      <c r="E131" s="339"/>
      <c r="F131" s="339"/>
      <c r="G131" s="339"/>
      <c r="H131" s="339"/>
      <c r="I131" s="339"/>
      <c r="J131" s="339"/>
      <c r="K131" s="339"/>
      <c r="L131" s="339"/>
      <c r="M131" s="673"/>
      <c r="N131" s="17"/>
      <c r="O131" s="6"/>
      <c r="P131" s="6"/>
    </row>
    <row r="132" spans="1:16" s="28" customFormat="1" ht="45" customHeight="1" outlineLevel="1">
      <c r="B132" s="65"/>
      <c r="C132" s="264"/>
      <c r="D132" s="264"/>
      <c r="E132" s="264"/>
      <c r="F132" s="264"/>
      <c r="G132" s="677" t="s">
        <v>557</v>
      </c>
      <c r="H132" s="677" t="s">
        <v>558</v>
      </c>
      <c r="I132" s="677" t="s">
        <v>559</v>
      </c>
      <c r="J132" s="677" t="s">
        <v>1165</v>
      </c>
      <c r="K132" s="907" t="s">
        <v>1233</v>
      </c>
      <c r="L132" s="908"/>
      <c r="M132" s="673"/>
      <c r="N132" s="17"/>
      <c r="O132" s="6"/>
      <c r="P132" s="6"/>
    </row>
    <row r="133" spans="1:16" s="28" customFormat="1" ht="15" customHeight="1" outlineLevel="1">
      <c r="B133" s="65"/>
      <c r="C133" s="264"/>
      <c r="D133" s="264"/>
      <c r="E133" s="264"/>
      <c r="F133" s="262" t="s">
        <v>1232</v>
      </c>
      <c r="G133" s="558">
        <f>$L$154+$L$161</f>
        <v>479.24256342957131</v>
      </c>
      <c r="H133" s="558">
        <f>$L$182</f>
        <v>20020</v>
      </c>
      <c r="I133" s="558">
        <f>$L$202</f>
        <v>241.96194225721786</v>
      </c>
      <c r="J133" s="421">
        <f>IF(SUM(G133:I133)&gt;0,SUM(G133:I133),"")</f>
        <v>20741.20450568679</v>
      </c>
      <c r="K133" s="974" t="str">
        <f>IF(ISNUMBER(J133),IF(J133&lt;J134,"Yes","No"),'Backend (to be hidden)'!CM29)</f>
        <v>Yes</v>
      </c>
      <c r="L133" s="975"/>
      <c r="M133" s="673"/>
      <c r="N133" s="548"/>
      <c r="O133" s="6"/>
      <c r="P133" s="6"/>
    </row>
    <row r="134" spans="1:16" s="28" customFormat="1" ht="15" customHeight="1" outlineLevel="1">
      <c r="B134" s="65"/>
      <c r="C134" s="264"/>
      <c r="D134" s="264"/>
      <c r="E134" s="264"/>
      <c r="F134" s="262"/>
      <c r="G134" s="422"/>
      <c r="H134" s="422"/>
      <c r="I134" s="262" t="s">
        <v>1481</v>
      </c>
      <c r="J134" s="670">
        <f>'7. ILCs - Design '!H141</f>
        <v>70474.2</v>
      </c>
      <c r="K134" s="264"/>
      <c r="L134" s="264"/>
      <c r="M134" s="673"/>
      <c r="N134" s="17"/>
      <c r="O134" s="6"/>
      <c r="P134" s="6"/>
    </row>
    <row r="135" spans="1:16" s="28" customFormat="1" ht="15" customHeight="1" outlineLevel="1">
      <c r="B135" s="65"/>
      <c r="C135" s="264"/>
      <c r="D135" s="264"/>
      <c r="E135" s="264"/>
      <c r="F135" s="262"/>
      <c r="G135" s="422"/>
      <c r="H135" s="422"/>
      <c r="I135" s="262" t="s">
        <v>1578</v>
      </c>
      <c r="J135" s="690">
        <f>(J134-J133)/J134</f>
        <v>0.70569081301118997</v>
      </c>
      <c r="K135" s="264"/>
      <c r="L135" s="264"/>
      <c r="M135" s="684"/>
      <c r="N135" s="17"/>
      <c r="O135" s="6"/>
      <c r="P135" s="6"/>
    </row>
    <row r="136" spans="1:16" s="28" customFormat="1" ht="15" customHeight="1" outlineLevel="1">
      <c r="B136" s="65"/>
      <c r="C136" s="264"/>
      <c r="D136" s="264"/>
      <c r="E136" s="264"/>
      <c r="F136" s="262"/>
      <c r="G136" s="422"/>
      <c r="H136" s="422"/>
      <c r="I136" s="262" t="s">
        <v>1579</v>
      </c>
      <c r="J136" s="690">
        <f>J133/'Backend (to be hidden)'!CI14</f>
        <v>2.0091383076347395E-2</v>
      </c>
      <c r="K136" s="264"/>
      <c r="L136" s="264"/>
      <c r="M136" s="684"/>
      <c r="N136" s="17"/>
      <c r="O136" s="6"/>
      <c r="P136" s="6"/>
    </row>
    <row r="137" spans="1:16" s="28" customFormat="1" ht="8.1" customHeight="1" outlineLevel="1">
      <c r="A137" s="29"/>
      <c r="B137" s="34"/>
      <c r="C137" s="262"/>
      <c r="D137" s="262"/>
      <c r="E137" s="262"/>
      <c r="F137" s="262"/>
      <c r="G137" s="262"/>
      <c r="H137" s="262"/>
      <c r="I137" s="262"/>
      <c r="J137" s="262"/>
      <c r="K137" s="672"/>
      <c r="L137" s="672"/>
      <c r="M137" s="673"/>
      <c r="N137" s="17"/>
      <c r="O137" s="6"/>
      <c r="P137" s="6"/>
    </row>
    <row r="138" spans="1:16" s="28" customFormat="1" ht="15" customHeight="1" outlineLevel="1">
      <c r="B138" s="65"/>
      <c r="C138" s="803" t="s">
        <v>1167</v>
      </c>
      <c r="D138" s="803"/>
      <c r="E138" s="803"/>
      <c r="F138" s="803"/>
      <c r="G138" s="803"/>
      <c r="H138" s="803"/>
      <c r="I138" s="803"/>
      <c r="J138" s="803"/>
      <c r="K138" s="803"/>
      <c r="L138" s="803"/>
      <c r="M138" s="147"/>
      <c r="N138" s="17"/>
      <c r="O138" s="547"/>
      <c r="P138" s="6"/>
    </row>
    <row r="139" spans="1:16" s="28" customFormat="1" ht="8.1" customHeight="1" outlineLevel="1">
      <c r="B139" s="65"/>
      <c r="C139" s="262"/>
      <c r="D139" s="262"/>
      <c r="E139" s="262"/>
      <c r="F139" s="262"/>
      <c r="G139" s="262"/>
      <c r="H139" s="262"/>
      <c r="I139" s="262"/>
      <c r="J139" s="262"/>
      <c r="K139" s="262"/>
      <c r="L139" s="262"/>
      <c r="M139" s="147"/>
      <c r="N139" s="17"/>
      <c r="O139" s="547"/>
      <c r="P139" s="6"/>
    </row>
    <row r="140" spans="1:16" s="28" customFormat="1" ht="30" customHeight="1" outlineLevel="1">
      <c r="B140" s="65"/>
      <c r="C140" s="801" t="s">
        <v>1590</v>
      </c>
      <c r="D140" s="801"/>
      <c r="E140" s="801"/>
      <c r="F140" s="801"/>
      <c r="G140" s="801"/>
      <c r="H140" s="801"/>
      <c r="I140" s="801"/>
      <c r="J140" s="801"/>
      <c r="K140" s="801"/>
      <c r="L140" s="801"/>
      <c r="M140" s="147"/>
      <c r="N140" s="17"/>
      <c r="O140" s="549"/>
      <c r="P140" s="6"/>
    </row>
    <row r="141" spans="1:16" s="28" customFormat="1" ht="8.1" customHeight="1" outlineLevel="1">
      <c r="B141" s="65"/>
      <c r="C141" s="671"/>
      <c r="D141" s="671"/>
      <c r="E141" s="671"/>
      <c r="F141" s="671"/>
      <c r="G141" s="671"/>
      <c r="H141" s="671"/>
      <c r="I141" s="671"/>
      <c r="J141" s="671"/>
      <c r="K141" s="671"/>
      <c r="L141" s="671"/>
      <c r="M141" s="147"/>
      <c r="N141" s="17"/>
      <c r="O141" s="549"/>
      <c r="P141" s="6"/>
    </row>
    <row r="142" spans="1:16" s="28" customFormat="1" ht="15" customHeight="1" outlineLevel="1">
      <c r="A142" s="29"/>
      <c r="B142" s="34"/>
      <c r="C142" s="262"/>
      <c r="D142" s="262"/>
      <c r="E142" s="264"/>
      <c r="F142" s="262" t="s">
        <v>1113</v>
      </c>
      <c r="G142" s="761" t="s">
        <v>1652</v>
      </c>
      <c r="H142" s="763"/>
      <c r="I142" s="262"/>
      <c r="J142" s="262"/>
      <c r="K142" s="489" t="s">
        <v>1581</v>
      </c>
      <c r="L142" s="523">
        <v>46753</v>
      </c>
      <c r="M142" s="684"/>
      <c r="N142" s="19"/>
      <c r="O142" s="6"/>
      <c r="P142" s="6"/>
    </row>
    <row r="143" spans="1:16" s="28" customFormat="1" ht="15" customHeight="1" outlineLevel="1">
      <c r="A143" s="29"/>
      <c r="B143" s="34"/>
      <c r="C143" s="262"/>
      <c r="D143" s="262"/>
      <c r="E143" s="264"/>
      <c r="F143" s="262" t="s">
        <v>1114</v>
      </c>
      <c r="G143" s="761" t="s">
        <v>1331</v>
      </c>
      <c r="H143" s="763"/>
      <c r="I143" s="262"/>
      <c r="J143" s="262"/>
      <c r="K143" s="489" t="s">
        <v>1582</v>
      </c>
      <c r="L143" s="523">
        <v>46878</v>
      </c>
      <c r="M143" s="684"/>
      <c r="N143" s="17"/>
      <c r="O143" s="6"/>
      <c r="P143" s="6"/>
    </row>
    <row r="144" spans="1:16" s="28" customFormat="1" ht="15" customHeight="1" outlineLevel="1">
      <c r="A144" s="29"/>
      <c r="B144" s="34"/>
      <c r="C144" s="262"/>
      <c r="D144" s="262"/>
      <c r="E144" s="264"/>
      <c r="F144" s="262" t="s">
        <v>1115</v>
      </c>
      <c r="G144" s="761" t="s">
        <v>1653</v>
      </c>
      <c r="H144" s="763"/>
      <c r="I144" s="262"/>
      <c r="J144" s="262"/>
      <c r="K144" s="683"/>
      <c r="L144" s="683"/>
      <c r="M144" s="684"/>
      <c r="N144" s="17"/>
      <c r="O144" s="6"/>
      <c r="P144" s="6"/>
    </row>
    <row r="145" spans="1:16" s="28" customFormat="1" ht="15" customHeight="1" outlineLevel="1">
      <c r="A145" s="29"/>
      <c r="B145" s="34"/>
      <c r="C145" s="262"/>
      <c r="D145" s="262"/>
      <c r="E145" s="264"/>
      <c r="F145" s="489" t="s">
        <v>1299</v>
      </c>
      <c r="G145" s="963">
        <v>46878</v>
      </c>
      <c r="H145" s="964"/>
      <c r="I145" s="262"/>
      <c r="J145" s="262"/>
      <c r="K145" s="683"/>
      <c r="L145" s="683"/>
      <c r="M145" s="684"/>
      <c r="N145" s="17"/>
      <c r="O145" s="6"/>
      <c r="P145" s="6"/>
    </row>
    <row r="146" spans="1:16" s="28" customFormat="1" ht="8.1" customHeight="1" outlineLevel="1">
      <c r="A146" s="29"/>
      <c r="B146" s="34"/>
      <c r="C146" s="262"/>
      <c r="D146" s="262"/>
      <c r="E146" s="262"/>
      <c r="F146" s="262"/>
      <c r="G146" s="262"/>
      <c r="H146" s="262"/>
      <c r="I146" s="262"/>
      <c r="J146" s="262"/>
      <c r="K146" s="683"/>
      <c r="L146" s="683"/>
      <c r="M146" s="684"/>
      <c r="N146" s="17"/>
      <c r="O146" s="6"/>
      <c r="P146" s="6"/>
    </row>
    <row r="147" spans="1:16" s="28" customFormat="1" ht="15" customHeight="1" outlineLevel="1">
      <c r="B147" s="65"/>
      <c r="C147" s="388" t="s">
        <v>1211</v>
      </c>
      <c r="D147" s="685"/>
      <c r="E147" s="671"/>
      <c r="F147" s="671"/>
      <c r="G147" s="671"/>
      <c r="H147" s="671"/>
      <c r="I147" s="671"/>
      <c r="J147" s="671"/>
      <c r="K147" s="671"/>
      <c r="L147" s="671"/>
      <c r="M147" s="147"/>
      <c r="N147" s="17"/>
      <c r="O147" s="547"/>
      <c r="P147" s="6"/>
    </row>
    <row r="148" spans="1:16" s="28" customFormat="1" ht="30" customHeight="1" outlineLevel="1">
      <c r="A148" s="29"/>
      <c r="B148" s="151"/>
      <c r="C148" s="965" t="s">
        <v>1191</v>
      </c>
      <c r="D148" s="966"/>
      <c r="E148" s="679" t="s">
        <v>1192</v>
      </c>
      <c r="F148" s="679" t="s">
        <v>1057</v>
      </c>
      <c r="G148" s="679" t="s">
        <v>1170</v>
      </c>
      <c r="H148" s="909" t="s">
        <v>1238</v>
      </c>
      <c r="I148" s="908"/>
      <c r="J148" s="679" t="s">
        <v>1136</v>
      </c>
      <c r="K148" s="679" t="s">
        <v>1137</v>
      </c>
      <c r="L148" s="679" t="s">
        <v>1239</v>
      </c>
      <c r="M148" s="673"/>
      <c r="N148" s="17"/>
      <c r="O148" s="6"/>
      <c r="P148" s="6"/>
    </row>
    <row r="149" spans="1:16" s="28" customFormat="1" ht="15" customHeight="1" outlineLevel="1">
      <c r="A149" s="29"/>
      <c r="B149" s="34"/>
      <c r="C149" s="891" t="s">
        <v>1179</v>
      </c>
      <c r="D149" s="893"/>
      <c r="E149" s="670" t="s">
        <v>1234</v>
      </c>
      <c r="F149" s="419" t="s">
        <v>1121</v>
      </c>
      <c r="G149" s="670" t="s">
        <v>1171</v>
      </c>
      <c r="H149" s="976" t="s">
        <v>1195</v>
      </c>
      <c r="I149" s="977"/>
      <c r="J149" s="670" t="s">
        <v>1172</v>
      </c>
      <c r="K149" s="670" t="s">
        <v>1173</v>
      </c>
      <c r="L149" s="670" t="s">
        <v>1197</v>
      </c>
      <c r="M149" s="698"/>
      <c r="N149" s="6"/>
      <c r="O149" s="6"/>
      <c r="P149" s="6"/>
    </row>
    <row r="150" spans="1:16" s="6" customFormat="1" ht="15" customHeight="1" outlineLevel="1">
      <c r="A150" s="740"/>
      <c r="B150" s="741"/>
      <c r="C150" s="761" t="s">
        <v>1654</v>
      </c>
      <c r="D150" s="763"/>
      <c r="E150" s="554" t="s">
        <v>1655</v>
      </c>
      <c r="F150" s="592">
        <v>45877</v>
      </c>
      <c r="G150" s="738" t="s">
        <v>1181</v>
      </c>
      <c r="H150" s="959">
        <f>IF(NOT(ISBLANK(G150)),IF(G150='Backend (to be hidden)'!$EE$8,"Overwrite this and enter factor",VLOOKUP(G150,'Backend (to be hidden)'!$EE$2:$EF$8,2,FALSE)),"")</f>
        <v>1.0999999999999999E-2</v>
      </c>
      <c r="I150" s="960"/>
      <c r="J150" s="557">
        <v>28000</v>
      </c>
      <c r="K150" s="704" t="str">
        <f>IF(NOT(ISBLANK(G150)),IF(G150='Backend (to be hidden)'!$EE$8,"Enter unit",VLOOKUP(G150,'Backend (to be hidden)'!$EE$2:$EG$8,3,FALSE)),"")</f>
        <v>kWh</v>
      </c>
      <c r="L150" s="704">
        <f>IF(COUNTA(C150:K150)&gt;6,IF(AND(ISNUMBER(H150),NOT(K150="Input value")),H150*J150,'Backend (to be hidden)'!$CM$29),"")</f>
        <v>308</v>
      </c>
      <c r="M150" s="745">
        <f>H150</f>
        <v>1.0999999999999999E-2</v>
      </c>
      <c r="N150" s="548"/>
    </row>
    <row r="151" spans="1:16" s="6" customFormat="1" ht="15" customHeight="1" outlineLevel="1">
      <c r="A151" s="740"/>
      <c r="B151" s="741"/>
      <c r="C151" s="761" t="s">
        <v>1656</v>
      </c>
      <c r="D151" s="763"/>
      <c r="E151" s="554" t="s">
        <v>1657</v>
      </c>
      <c r="F151" s="592">
        <v>45877</v>
      </c>
      <c r="G151" s="738" t="s">
        <v>1184</v>
      </c>
      <c r="H151" s="959">
        <f>IF(NOT(ISBLANK(G151)),IF(G151='Backend (to be hidden)'!$EE$8,"Overwrite this and enter factor",VLOOKUP(G151,'Backend (to be hidden)'!$EE$2:$EF$8,2,FALSE)),"")</f>
        <v>0.18</v>
      </c>
      <c r="I151" s="960"/>
      <c r="J151" s="557">
        <v>100</v>
      </c>
      <c r="K151" s="704" t="str">
        <f>IF(NOT(ISBLANK(G151)),IF(G151='Backend (to be hidden)'!$EE$8,"Enter unit",VLOOKUP(G151,'Backend (to be hidden)'!$EE$2:$EG$8,3,FALSE)),"")</f>
        <v>kWh</v>
      </c>
      <c r="L151" s="704">
        <f>IF(COUNTA(C151:K151)&gt;6,IF(AND(ISNUMBER(H151),NOT(K151="Input value")),H151*J151,'Backend (to be hidden)'!$CM$29),"")</f>
        <v>18</v>
      </c>
      <c r="M151" s="745">
        <f>H151</f>
        <v>0.18</v>
      </c>
      <c r="N151" s="548"/>
    </row>
    <row r="152" spans="1:16" s="6" customFormat="1" ht="15" customHeight="1" outlineLevel="1">
      <c r="A152" s="740"/>
      <c r="B152" s="741"/>
      <c r="C152" s="761"/>
      <c r="D152" s="763"/>
      <c r="E152" s="554"/>
      <c r="F152" s="592"/>
      <c r="G152" s="738"/>
      <c r="H152" s="959" t="str">
        <f>IF(NOT(ISBLANK(G152)),IF(G152='Backend (to be hidden)'!$EE$8,"Overwrite this and enter factor",VLOOKUP(G152,'Backend (to be hidden)'!$EE$2:$EF$8,2,FALSE)),"")</f>
        <v/>
      </c>
      <c r="I152" s="960"/>
      <c r="J152" s="557"/>
      <c r="K152" s="704" t="str">
        <f>IF(NOT(ISBLANK(G152)),IF(G152='Backend (to be hidden)'!$EE$8,"Enter unit",VLOOKUP(G152,'Backend (to be hidden)'!$EE$2:$EG$8,3,FALSE)),"")</f>
        <v/>
      </c>
      <c r="L152" s="704" t="str">
        <f>IF(COUNTA(D152:K152)&gt;6,IF(AND(ISNUMBER(H152),NOT(K152="Input value")),H152*J152,'Backend (to be hidden)'!$CM$29),"")</f>
        <v/>
      </c>
      <c r="M152" s="745" t="str">
        <f>H152</f>
        <v/>
      </c>
      <c r="N152" s="19"/>
    </row>
    <row r="153" spans="1:16" s="6" customFormat="1" ht="15" customHeight="1" outlineLevel="1">
      <c r="A153" s="740"/>
      <c r="B153" s="741"/>
      <c r="C153" s="761"/>
      <c r="D153" s="763"/>
      <c r="E153" s="554"/>
      <c r="F153" s="592"/>
      <c r="G153" s="738"/>
      <c r="H153" s="959" t="str">
        <f>IF(NOT(ISBLANK(G153)),IF(G153='Backend (to be hidden)'!$EE$8,"Overwrite this and enter factor",VLOOKUP(G153,'Backend (to be hidden)'!$EE$2:$EF$8,2,FALSE)),"")</f>
        <v/>
      </c>
      <c r="I153" s="960"/>
      <c r="J153" s="557"/>
      <c r="K153" s="704" t="str">
        <f>IF(NOT(ISBLANK(G153)),IF(G153='Backend (to be hidden)'!$EE$8,"Enter unit",VLOOKUP(G153,'Backend (to be hidden)'!$EE$2:$EG$8,3,FALSE)),"")</f>
        <v/>
      </c>
      <c r="L153" s="704" t="str">
        <f>IF(COUNTA(D153:K153)&gt;6,IF(AND(ISNUMBER(H153),NOT(K153="Input value")),H153*J153,'Backend (to be hidden)'!$CM$29),"")</f>
        <v/>
      </c>
      <c r="M153" s="745" t="str">
        <f>H153</f>
        <v/>
      </c>
      <c r="N153" s="19"/>
    </row>
    <row r="154" spans="1:16" s="28" customFormat="1" ht="15" customHeight="1" outlineLevel="1">
      <c r="A154" s="29"/>
      <c r="B154" s="141"/>
      <c r="C154" s="589" t="str">
        <f>_xlfn.CONCAT("Rows can be added to this table. See instructions in row ",ROW($C$8),".")</f>
        <v>Rows can be added to this table. See instructions in row 8.</v>
      </c>
      <c r="D154" s="589"/>
      <c r="E154" s="268"/>
      <c r="F154" s="268"/>
      <c r="G154" s="268"/>
      <c r="H154" s="268"/>
      <c r="I154" s="268"/>
      <c r="J154" s="268"/>
      <c r="K154" s="264" t="s">
        <v>1026</v>
      </c>
      <c r="L154" s="171">
        <f>SUMPRODUCT(M150:M153,J150:J153)</f>
        <v>326</v>
      </c>
      <c r="M154" s="155"/>
      <c r="N154" s="19"/>
      <c r="O154" s="6"/>
      <c r="P154" s="6"/>
    </row>
    <row r="155" spans="1:16" s="28" customFormat="1" ht="15" customHeight="1" outlineLevel="1">
      <c r="A155" s="29"/>
      <c r="B155" s="34"/>
      <c r="C155" s="388" t="s">
        <v>1212</v>
      </c>
      <c r="D155" s="674"/>
      <c r="E155" s="686"/>
      <c r="F155" s="674"/>
      <c r="G155" s="674"/>
      <c r="H155" s="674"/>
      <c r="I155" s="674"/>
      <c r="J155" s="674"/>
      <c r="K155" s="675"/>
      <c r="L155" s="675"/>
      <c r="M155" s="673"/>
      <c r="N155" s="6"/>
      <c r="O155" s="550"/>
      <c r="P155" s="6"/>
    </row>
    <row r="156" spans="1:16" s="28" customFormat="1" ht="54.95" customHeight="1" outlineLevel="1">
      <c r="A156" s="29"/>
      <c r="B156" s="151"/>
      <c r="C156" s="965" t="s">
        <v>1191</v>
      </c>
      <c r="D156" s="966"/>
      <c r="E156" s="679" t="s">
        <v>1192</v>
      </c>
      <c r="F156" s="679" t="s">
        <v>1057</v>
      </c>
      <c r="G156" s="679" t="s">
        <v>1059</v>
      </c>
      <c r="H156" s="679" t="s">
        <v>1175</v>
      </c>
      <c r="I156" s="679" t="s">
        <v>1174</v>
      </c>
      <c r="J156" s="679" t="s">
        <v>1060</v>
      </c>
      <c r="K156" s="679" t="s">
        <v>1332</v>
      </c>
      <c r="L156" s="679" t="s">
        <v>1239</v>
      </c>
      <c r="M156" s="673"/>
      <c r="N156" s="17"/>
      <c r="O156" s="6"/>
      <c r="P156" s="6"/>
    </row>
    <row r="157" spans="1:16" s="28" customFormat="1" ht="15" customHeight="1" outlineLevel="1">
      <c r="A157" s="29"/>
      <c r="B157" s="34"/>
      <c r="C157" s="891" t="s">
        <v>1178</v>
      </c>
      <c r="D157" s="893"/>
      <c r="E157" s="670" t="s">
        <v>1235</v>
      </c>
      <c r="F157" s="419" t="s">
        <v>1121</v>
      </c>
      <c r="G157" s="670" t="s">
        <v>1237</v>
      </c>
      <c r="H157" s="420" t="s">
        <v>1176</v>
      </c>
      <c r="I157" s="420" t="s">
        <v>1180</v>
      </c>
      <c r="J157" s="670" t="s">
        <v>1124</v>
      </c>
      <c r="K157" s="670" t="s">
        <v>1177</v>
      </c>
      <c r="L157" s="670" t="s">
        <v>1334</v>
      </c>
      <c r="M157" s="673"/>
      <c r="N157" s="6"/>
      <c r="O157" s="6"/>
      <c r="P157" s="6"/>
    </row>
    <row r="158" spans="1:16" s="6" customFormat="1" ht="30" customHeight="1" outlineLevel="1">
      <c r="A158" s="740"/>
      <c r="B158" s="741"/>
      <c r="C158" s="761" t="s">
        <v>1658</v>
      </c>
      <c r="D158" s="763"/>
      <c r="E158" s="554" t="s">
        <v>1659</v>
      </c>
      <c r="F158" s="592">
        <v>45877</v>
      </c>
      <c r="G158" s="554" t="s">
        <v>1660</v>
      </c>
      <c r="H158" s="554" t="s">
        <v>1661</v>
      </c>
      <c r="I158" s="556" t="s">
        <v>1248</v>
      </c>
      <c r="J158" s="738">
        <v>2</v>
      </c>
      <c r="K158" s="738">
        <v>50</v>
      </c>
      <c r="L158" s="704">
        <f>IF(COUNTA(C158:K158)&gt;7,VLOOKUP(I158,'Backend (to be hidden)'!$DP$2:$DU$8,5,FALSE)*J158*K158,"")</f>
        <v>80.653980752405957</v>
      </c>
      <c r="M158" s="744"/>
    </row>
    <row r="159" spans="1:16" s="6" customFormat="1" ht="30" customHeight="1" outlineLevel="1">
      <c r="A159" s="740"/>
      <c r="B159" s="741"/>
      <c r="C159" s="761" t="s">
        <v>1658</v>
      </c>
      <c r="D159" s="763"/>
      <c r="E159" s="554" t="s">
        <v>1662</v>
      </c>
      <c r="F159" s="592">
        <v>45879</v>
      </c>
      <c r="G159" s="554" t="s">
        <v>1663</v>
      </c>
      <c r="H159" s="554" t="s">
        <v>1664</v>
      </c>
      <c r="I159" s="556" t="s">
        <v>1248</v>
      </c>
      <c r="J159" s="738">
        <v>3</v>
      </c>
      <c r="K159" s="738">
        <v>30</v>
      </c>
      <c r="L159" s="704">
        <f>IF(COUNTA(C159:K159)&gt;7,VLOOKUP(I159,'Backend (to be hidden)'!$DP$2:$DU$8,5,FALSE)*J159*K159,"")</f>
        <v>72.588582677165363</v>
      </c>
      <c r="M159" s="744"/>
    </row>
    <row r="160" spans="1:16" s="6" customFormat="1" ht="30" customHeight="1" outlineLevel="1">
      <c r="A160" s="740"/>
      <c r="B160" s="741"/>
      <c r="C160" s="761"/>
      <c r="D160" s="763"/>
      <c r="E160" s="554"/>
      <c r="F160" s="592"/>
      <c r="G160" s="554"/>
      <c r="H160" s="554"/>
      <c r="I160" s="556"/>
      <c r="J160" s="738"/>
      <c r="K160" s="738"/>
      <c r="L160" s="704" t="str">
        <f>IF(COUNTA(D160:K160)&gt;7,VLOOKUP(I160,'Backend (to be hidden)'!$DP$2:$DU$8,5,FALSE)*J160*K160,"")</f>
        <v/>
      </c>
      <c r="M160" s="744"/>
    </row>
    <row r="161" spans="1:16" s="28" customFormat="1" ht="15" customHeight="1" outlineLevel="1">
      <c r="A161" s="29"/>
      <c r="B161" s="34"/>
      <c r="C161" s="589" t="str">
        <f>_xlfn.CONCAT("Rows can be added to this table. See instructions in row ",ROW($C$8),".")</f>
        <v>Rows can be added to this table. See instructions in row 8.</v>
      </c>
      <c r="D161" s="589"/>
      <c r="E161" s="674"/>
      <c r="F161" s="674"/>
      <c r="G161" s="674"/>
      <c r="H161" s="674"/>
      <c r="I161" s="674"/>
      <c r="J161" s="674"/>
      <c r="K161" s="264" t="s">
        <v>1026</v>
      </c>
      <c r="L161" s="171">
        <f>SUM(L158:L160)</f>
        <v>153.24256342957131</v>
      </c>
      <c r="M161" s="673"/>
      <c r="N161" s="6"/>
      <c r="O161" s="550"/>
      <c r="P161" s="6"/>
    </row>
    <row r="162" spans="1:16" s="28" customFormat="1" ht="8.1" customHeight="1" outlineLevel="1">
      <c r="A162" s="29"/>
      <c r="B162" s="34"/>
      <c r="C162" s="674"/>
      <c r="D162" s="674"/>
      <c r="E162" s="674"/>
      <c r="F162" s="674"/>
      <c r="G162" s="674"/>
      <c r="H162" s="674"/>
      <c r="I162" s="674"/>
      <c r="J162" s="264"/>
      <c r="K162" s="264"/>
      <c r="L162" s="675"/>
      <c r="M162" s="673"/>
      <c r="N162" s="6"/>
      <c r="O162" s="550"/>
      <c r="P162" s="6"/>
    </row>
    <row r="163" spans="1:16" s="28" customFormat="1" ht="15" customHeight="1" outlineLevel="1">
      <c r="A163" s="29"/>
      <c r="B163" s="34"/>
      <c r="C163" s="35" t="s">
        <v>1587</v>
      </c>
      <c r="D163" s="35"/>
      <c r="E163" s="402"/>
      <c r="F163" s="674"/>
      <c r="G163" s="674"/>
      <c r="H163" s="674"/>
      <c r="I163" s="674"/>
      <c r="J163" s="674"/>
      <c r="K163" s="674"/>
      <c r="L163" s="675"/>
      <c r="M163" s="673"/>
      <c r="N163" s="6"/>
      <c r="O163" s="550"/>
      <c r="P163" s="6"/>
    </row>
    <row r="164" spans="1:16" s="28" customFormat="1" ht="69.95" customHeight="1" outlineLevel="1">
      <c r="A164" s="29"/>
      <c r="B164" s="34"/>
      <c r="C164" s="970" t="s">
        <v>1665</v>
      </c>
      <c r="D164" s="970"/>
      <c r="E164" s="970"/>
      <c r="F164" s="970"/>
      <c r="G164" s="970"/>
      <c r="H164" s="970"/>
      <c r="I164" s="970"/>
      <c r="J164" s="970"/>
      <c r="K164" s="970"/>
      <c r="L164" s="971"/>
      <c r="M164" s="673"/>
      <c r="N164" s="6"/>
      <c r="O164" s="550"/>
      <c r="P164" s="6"/>
    </row>
    <row r="165" spans="1:16" s="28" customFormat="1" ht="8.1" customHeight="1" outlineLevel="1">
      <c r="A165" s="29"/>
      <c r="B165" s="34"/>
      <c r="C165" s="674"/>
      <c r="D165" s="674"/>
      <c r="E165" s="674"/>
      <c r="F165" s="674"/>
      <c r="G165" s="674"/>
      <c r="H165" s="674"/>
      <c r="I165" s="674"/>
      <c r="J165" s="264"/>
      <c r="K165" s="264"/>
      <c r="L165" s="675"/>
      <c r="M165" s="673"/>
      <c r="N165" s="6"/>
      <c r="O165" s="550"/>
      <c r="P165" s="6"/>
    </row>
    <row r="166" spans="1:16" s="28" customFormat="1" ht="15" customHeight="1" outlineLevel="1">
      <c r="B166" s="65"/>
      <c r="C166" s="803" t="s">
        <v>1168</v>
      </c>
      <c r="D166" s="803"/>
      <c r="E166" s="803"/>
      <c r="F166" s="803"/>
      <c r="G166" s="803"/>
      <c r="H166" s="803"/>
      <c r="I166" s="803"/>
      <c r="J166" s="803"/>
      <c r="K166" s="803"/>
      <c r="L166" s="803"/>
      <c r="M166" s="147"/>
      <c r="N166" s="17"/>
      <c r="O166" s="547"/>
      <c r="P166" s="6"/>
    </row>
    <row r="167" spans="1:16" s="28" customFormat="1" ht="8.1" customHeight="1" outlineLevel="1">
      <c r="B167" s="65"/>
      <c r="C167" s="262"/>
      <c r="D167" s="262"/>
      <c r="E167" s="262"/>
      <c r="F167" s="262"/>
      <c r="G167" s="262"/>
      <c r="H167" s="262"/>
      <c r="I167" s="262"/>
      <c r="J167" s="262"/>
      <c r="K167" s="262"/>
      <c r="L167" s="262"/>
      <c r="M167" s="147"/>
      <c r="N167" s="17"/>
      <c r="O167" s="547"/>
      <c r="P167" s="6"/>
    </row>
    <row r="168" spans="1:16" s="28" customFormat="1" ht="30" customHeight="1" outlineLevel="1">
      <c r="B168" s="65"/>
      <c r="C168" s="801" t="s">
        <v>1588</v>
      </c>
      <c r="D168" s="801"/>
      <c r="E168" s="801"/>
      <c r="F168" s="801"/>
      <c r="G168" s="801"/>
      <c r="H168" s="801"/>
      <c r="I168" s="801"/>
      <c r="J168" s="801"/>
      <c r="K168" s="801"/>
      <c r="L168" s="801"/>
      <c r="M168" s="147"/>
      <c r="N168" s="17"/>
      <c r="O168" s="547"/>
      <c r="P168" s="6"/>
    </row>
    <row r="169" spans="1:16" s="28" customFormat="1" ht="8.1" customHeight="1" outlineLevel="1">
      <c r="B169" s="65"/>
      <c r="C169" s="671"/>
      <c r="D169" s="671"/>
      <c r="E169" s="671"/>
      <c r="F169" s="671"/>
      <c r="G169" s="671"/>
      <c r="H169" s="671"/>
      <c r="I169" s="671"/>
      <c r="J169" s="671"/>
      <c r="K169" s="671"/>
      <c r="L169" s="671"/>
      <c r="M169" s="147"/>
      <c r="N169" s="17"/>
      <c r="O169" s="547"/>
      <c r="P169" s="6"/>
    </row>
    <row r="170" spans="1:16" s="28" customFormat="1" ht="15" customHeight="1" outlineLevel="1">
      <c r="A170" s="29"/>
      <c r="B170" s="34"/>
      <c r="C170" s="262"/>
      <c r="D170" s="262"/>
      <c r="E170" s="264"/>
      <c r="F170" s="262" t="s">
        <v>1113</v>
      </c>
      <c r="G170" s="761" t="s">
        <v>1652</v>
      </c>
      <c r="H170" s="763"/>
      <c r="I170" s="262"/>
      <c r="J170" s="262"/>
      <c r="K170" s="489" t="s">
        <v>1583</v>
      </c>
      <c r="L170" s="523">
        <v>46753</v>
      </c>
      <c r="M170" s="684"/>
      <c r="N170" s="19"/>
      <c r="O170" s="6"/>
      <c r="P170" s="6"/>
    </row>
    <row r="171" spans="1:16" s="28" customFormat="1" ht="15" customHeight="1" outlineLevel="1">
      <c r="A171" s="29"/>
      <c r="B171" s="34"/>
      <c r="C171" s="262"/>
      <c r="D171" s="262"/>
      <c r="E171" s="264"/>
      <c r="F171" s="262" t="s">
        <v>1114</v>
      </c>
      <c r="G171" s="761" t="s">
        <v>1331</v>
      </c>
      <c r="H171" s="763"/>
      <c r="I171" s="262"/>
      <c r="J171" s="262"/>
      <c r="K171" s="489" t="s">
        <v>1584</v>
      </c>
      <c r="L171" s="523">
        <v>46878</v>
      </c>
      <c r="M171" s="684"/>
      <c r="N171" s="17"/>
      <c r="O171" s="6"/>
      <c r="P171" s="6"/>
    </row>
    <row r="172" spans="1:16" s="28" customFormat="1" ht="15" customHeight="1" outlineLevel="1">
      <c r="A172" s="29"/>
      <c r="B172" s="34"/>
      <c r="C172" s="262"/>
      <c r="D172" s="262"/>
      <c r="E172" s="264"/>
      <c r="F172" s="262" t="s">
        <v>1115</v>
      </c>
      <c r="G172" s="761" t="s">
        <v>1653</v>
      </c>
      <c r="H172" s="763"/>
      <c r="I172" s="262"/>
      <c r="J172" s="262"/>
      <c r="K172" s="683"/>
      <c r="L172" s="683"/>
      <c r="M172" s="684"/>
      <c r="N172" s="17"/>
      <c r="O172" s="6"/>
      <c r="P172" s="6"/>
    </row>
    <row r="173" spans="1:16" s="28" customFormat="1" ht="15" customHeight="1" outlineLevel="1">
      <c r="A173" s="29"/>
      <c r="B173" s="34"/>
      <c r="C173" s="262"/>
      <c r="D173" s="262"/>
      <c r="E173" s="264"/>
      <c r="F173" s="489" t="s">
        <v>1299</v>
      </c>
      <c r="G173" s="963">
        <v>46878</v>
      </c>
      <c r="H173" s="964"/>
      <c r="I173" s="262"/>
      <c r="J173" s="262"/>
      <c r="K173" s="683"/>
      <c r="L173" s="683"/>
      <c r="M173" s="684"/>
      <c r="N173" s="17"/>
      <c r="O173" s="6"/>
      <c r="P173" s="6"/>
    </row>
    <row r="174" spans="1:16" s="28" customFormat="1" ht="8.1" customHeight="1" outlineLevel="1">
      <c r="A174" s="29"/>
      <c r="B174" s="34"/>
      <c r="C174" s="262"/>
      <c r="D174" s="262"/>
      <c r="E174" s="262"/>
      <c r="F174" s="262"/>
      <c r="G174" s="262"/>
      <c r="H174" s="262"/>
      <c r="I174" s="262"/>
      <c r="J174" s="262"/>
      <c r="K174" s="683"/>
      <c r="L174" s="683"/>
      <c r="M174" s="684"/>
      <c r="N174" s="17"/>
      <c r="O174" s="6"/>
      <c r="P174" s="6"/>
    </row>
    <row r="175" spans="1:16" s="28" customFormat="1" ht="15" customHeight="1" outlineLevel="1">
      <c r="B175" s="65"/>
      <c r="C175" s="388" t="s">
        <v>1211</v>
      </c>
      <c r="D175" s="388"/>
      <c r="E175" s="671"/>
      <c r="F175" s="671"/>
      <c r="G175" s="671"/>
      <c r="H175" s="671"/>
      <c r="I175" s="671"/>
      <c r="J175" s="671"/>
      <c r="K175" s="671"/>
      <c r="L175" s="671"/>
      <c r="M175" s="147"/>
      <c r="N175" s="17"/>
      <c r="O175" s="547"/>
      <c r="P175" s="6"/>
    </row>
    <row r="176" spans="1:16" s="28" customFormat="1" ht="30" customHeight="1" outlineLevel="1">
      <c r="A176" s="29"/>
      <c r="B176" s="151"/>
      <c r="C176" s="965" t="s">
        <v>1191</v>
      </c>
      <c r="D176" s="966"/>
      <c r="E176" s="679" t="s">
        <v>1192</v>
      </c>
      <c r="F176" s="679" t="s">
        <v>1057</v>
      </c>
      <c r="G176" s="679" t="s">
        <v>1170</v>
      </c>
      <c r="H176" s="952" t="s">
        <v>1238</v>
      </c>
      <c r="I176" s="953"/>
      <c r="J176" s="679" t="s">
        <v>1136</v>
      </c>
      <c r="K176" s="679" t="s">
        <v>1137</v>
      </c>
      <c r="L176" s="679" t="s">
        <v>1239</v>
      </c>
      <c r="M176" s="673"/>
      <c r="N176" s="17"/>
      <c r="O176" s="6"/>
      <c r="P176" s="6"/>
    </row>
    <row r="177" spans="1:16" s="28" customFormat="1" ht="15" customHeight="1" outlineLevel="1">
      <c r="A177" s="29"/>
      <c r="B177" s="34"/>
      <c r="C177" s="891" t="s">
        <v>1179</v>
      </c>
      <c r="D177" s="893"/>
      <c r="E177" s="670" t="s">
        <v>1236</v>
      </c>
      <c r="F177" s="419" t="s">
        <v>1121</v>
      </c>
      <c r="G177" s="670" t="s">
        <v>1171</v>
      </c>
      <c r="H177" s="876" t="s">
        <v>1195</v>
      </c>
      <c r="I177" s="878"/>
      <c r="J177" s="670" t="s">
        <v>1172</v>
      </c>
      <c r="K177" s="670" t="s">
        <v>1173</v>
      </c>
      <c r="L177" s="670" t="s">
        <v>1197</v>
      </c>
      <c r="M177" s="673"/>
      <c r="N177" s="6"/>
      <c r="O177" s="6"/>
      <c r="P177" s="6"/>
    </row>
    <row r="178" spans="1:16" s="6" customFormat="1" ht="15" customHeight="1" outlineLevel="1">
      <c r="A178" s="740"/>
      <c r="B178" s="741"/>
      <c r="C178" s="761" t="s">
        <v>1654</v>
      </c>
      <c r="D178" s="763"/>
      <c r="E178" s="554" t="s">
        <v>1666</v>
      </c>
      <c r="F178" s="592">
        <v>45877</v>
      </c>
      <c r="G178" s="738" t="s">
        <v>1181</v>
      </c>
      <c r="H178" s="959">
        <f>IF(NOT(ISBLANK(G178)),IF(G178='Backend (to be hidden)'!$EE$8,"Overwrite this and enter factor",VLOOKUP(G178,'Backend (to be hidden)'!$EE$2:$EF$8,2,FALSE)),"")</f>
        <v>1.0999999999999999E-2</v>
      </c>
      <c r="I178" s="960"/>
      <c r="J178" s="738">
        <v>28000</v>
      </c>
      <c r="K178" s="704" t="str">
        <f>IF(NOT(ISBLANK(G178)),IF(G178='Backend (to be hidden)'!$EE$8,"Enter unit",VLOOKUP(G178,'Backend (to be hidden)'!$EE$2:$EG$8,3,FALSE)),"")</f>
        <v>kWh</v>
      </c>
      <c r="L178" s="704">
        <f>IF(COUNTA(C178:K178)&gt;6,IF(AND(ISNUMBER(H178),NOT(K178="Input value")),H178*J178,"Enter data"),"")</f>
        <v>308</v>
      </c>
      <c r="M178" s="746">
        <f>H178</f>
        <v>1.0999999999999999E-2</v>
      </c>
      <c r="N178" s="548"/>
    </row>
    <row r="179" spans="1:16" s="6" customFormat="1" ht="15" customHeight="1" outlineLevel="1">
      <c r="A179" s="740"/>
      <c r="B179" s="741"/>
      <c r="C179" s="761" t="s">
        <v>1667</v>
      </c>
      <c r="D179" s="763"/>
      <c r="E179" s="554" t="s">
        <v>1668</v>
      </c>
      <c r="F179" s="592">
        <v>45877</v>
      </c>
      <c r="G179" s="738" t="s">
        <v>1188</v>
      </c>
      <c r="H179" s="959">
        <f>IF(NOT(ISBLANK(G179)),IF(G179='Backend (to be hidden)'!$EE$8,"Overwrite this and enter factor",VLOOKUP(G179,'Backend (to be hidden)'!$EE$2:$EF$8,2,FALSE)),"")</f>
        <v>2.3199999999999998</v>
      </c>
      <c r="I179" s="960"/>
      <c r="J179" s="738">
        <v>7100</v>
      </c>
      <c r="K179" s="704" t="str">
        <f>IF(NOT(ISBLANK(G179)),IF(G179='Backend (to be hidden)'!$EE$8,"Enter unit",VLOOKUP(G179,'Backend (to be hidden)'!$EE$2:$EG$8,3,FALSE)),"")</f>
        <v>L</v>
      </c>
      <c r="L179" s="704">
        <f>IF(COUNTA(C179:K179)&gt;6,IF(AND(ISNUMBER(H179),NOT(K179="Input value")),H179*J179,"Enter data"),"")</f>
        <v>16472</v>
      </c>
      <c r="M179" s="746">
        <f>H179</f>
        <v>2.3199999999999998</v>
      </c>
      <c r="N179" s="551"/>
    </row>
    <row r="180" spans="1:16" s="6" customFormat="1" ht="15" customHeight="1" outlineLevel="1">
      <c r="A180" s="740"/>
      <c r="B180" s="741"/>
      <c r="C180" s="761" t="s">
        <v>1669</v>
      </c>
      <c r="D180" s="763"/>
      <c r="E180" s="554" t="s">
        <v>1670</v>
      </c>
      <c r="F180" s="592">
        <v>45638</v>
      </c>
      <c r="G180" s="738" t="s">
        <v>1184</v>
      </c>
      <c r="H180" s="959">
        <f>IF(NOT(ISBLANK(G180)),IF(G180='Backend (to be hidden)'!$EE$8,"Overwrite this and enter factor",VLOOKUP(G180,'Backend (to be hidden)'!$EE$2:$EF$8,2,FALSE)),"")</f>
        <v>0.18</v>
      </c>
      <c r="I180" s="960"/>
      <c r="J180" s="738">
        <v>18000</v>
      </c>
      <c r="K180" s="704" t="str">
        <f>IF(NOT(ISBLANK(G180)),IF(G180='Backend (to be hidden)'!$EE$8,"Enter unit",VLOOKUP(G180,'Backend (to be hidden)'!$EE$2:$EG$8,3,FALSE)),"")</f>
        <v>kWh</v>
      </c>
      <c r="L180" s="704">
        <f>IF(COUNTA(C180:K180)&gt;6,IF(AND(ISNUMBER(H180),NOT(K180="Input value")),H180*J180,"Enter data"),"")</f>
        <v>3240</v>
      </c>
      <c r="M180" s="746">
        <f>H180</f>
        <v>0.18</v>
      </c>
      <c r="N180" s="17"/>
    </row>
    <row r="181" spans="1:16" s="6" customFormat="1" ht="15" customHeight="1" outlineLevel="1">
      <c r="A181" s="740"/>
      <c r="B181" s="741"/>
      <c r="C181" s="761"/>
      <c r="D181" s="763"/>
      <c r="E181" s="554"/>
      <c r="F181" s="592"/>
      <c r="G181" s="738"/>
      <c r="H181" s="959" t="str">
        <f>IF(NOT(ISBLANK(G181)),IF(G181='Backend (to be hidden)'!$EE$8,"Overwrite this and enter factor",VLOOKUP(G181,'Backend (to be hidden)'!$EE$2:$EF$8,2,FALSE)),"")</f>
        <v/>
      </c>
      <c r="I181" s="960"/>
      <c r="J181" s="738"/>
      <c r="K181" s="704" t="str">
        <f>IF(NOT(ISBLANK(G181)),IF(G181='Backend (to be hidden)'!$EE$8,"Enter unit",VLOOKUP(G181,'Backend (to be hidden)'!$EE$2:$EG$8,3,FALSE)),"")</f>
        <v/>
      </c>
      <c r="L181" s="704" t="str">
        <f>IF(COUNTA(D181:K181)&gt;6,IF(AND(ISNUMBER(H181),NOT(K181="Input value")),H181*J181,"Enter data"),"")</f>
        <v/>
      </c>
      <c r="M181" s="746" t="str">
        <f>H181</f>
        <v/>
      </c>
      <c r="N181" s="17"/>
    </row>
    <row r="182" spans="1:16" s="28" customFormat="1" ht="15" customHeight="1" outlineLevel="1">
      <c r="A182" s="29"/>
      <c r="B182" s="141"/>
      <c r="C182" s="589" t="str">
        <f>_xlfn.CONCAT("Rows can be added to this table. See instructions in row ",ROW($C$8),".")</f>
        <v>Rows can be added to this table. See instructions in row 8.</v>
      </c>
      <c r="D182" s="589"/>
      <c r="E182" s="268"/>
      <c r="F182" s="268"/>
      <c r="G182" s="268"/>
      <c r="H182" s="268"/>
      <c r="I182" s="268"/>
      <c r="J182" s="268"/>
      <c r="K182" s="264" t="s">
        <v>1026</v>
      </c>
      <c r="L182" s="171">
        <f>SUMPRODUCT(M178:M181,J178:J181)</f>
        <v>20020</v>
      </c>
      <c r="M182" s="155"/>
      <c r="N182" s="17"/>
      <c r="O182" s="6"/>
      <c r="P182" s="6"/>
    </row>
    <row r="183" spans="1:16" s="28" customFormat="1" ht="8.1" customHeight="1" outlineLevel="1">
      <c r="A183" s="29"/>
      <c r="B183" s="141"/>
      <c r="C183" s="264"/>
      <c r="D183" s="268"/>
      <c r="E183" s="268"/>
      <c r="F183" s="268"/>
      <c r="G183" s="268"/>
      <c r="H183" s="268"/>
      <c r="I183" s="268"/>
      <c r="J183" s="264"/>
      <c r="K183" s="264"/>
      <c r="L183" s="268"/>
      <c r="M183" s="155"/>
      <c r="N183" s="17"/>
      <c r="O183" s="6"/>
      <c r="P183" s="6"/>
    </row>
    <row r="184" spans="1:16" s="28" customFormat="1" ht="15" customHeight="1" outlineLevel="1">
      <c r="A184" s="29"/>
      <c r="B184" s="34"/>
      <c r="C184" s="35" t="s">
        <v>1587</v>
      </c>
      <c r="D184" s="402"/>
      <c r="E184" s="402"/>
      <c r="F184" s="674"/>
      <c r="G184" s="674"/>
      <c r="H184" s="674"/>
      <c r="I184" s="674"/>
      <c r="J184" s="674"/>
      <c r="K184" s="674"/>
      <c r="L184" s="675"/>
      <c r="M184" s="673"/>
      <c r="N184" s="6"/>
      <c r="O184" s="550"/>
      <c r="P184" s="6"/>
    </row>
    <row r="185" spans="1:16" s="28" customFormat="1" ht="58.5" customHeight="1" outlineLevel="1">
      <c r="A185" s="29"/>
      <c r="B185" s="34"/>
      <c r="C185" s="967" t="s">
        <v>1671</v>
      </c>
      <c r="D185" s="968"/>
      <c r="E185" s="968"/>
      <c r="F185" s="968"/>
      <c r="G185" s="968"/>
      <c r="H185" s="968"/>
      <c r="I185" s="968"/>
      <c r="J185" s="968"/>
      <c r="K185" s="968"/>
      <c r="L185" s="969"/>
      <c r="M185" s="673"/>
      <c r="N185" s="6"/>
      <c r="O185" s="550"/>
      <c r="P185" s="6"/>
    </row>
    <row r="186" spans="1:16" s="28" customFormat="1" ht="8.1" customHeight="1" outlineLevel="1">
      <c r="A186" s="29"/>
      <c r="B186" s="34"/>
      <c r="C186" s="674"/>
      <c r="D186" s="674"/>
      <c r="E186" s="674"/>
      <c r="F186" s="674"/>
      <c r="G186" s="674"/>
      <c r="H186" s="674"/>
      <c r="I186" s="674"/>
      <c r="J186" s="675"/>
      <c r="K186" s="675"/>
      <c r="L186" s="268"/>
      <c r="M186" s="673"/>
      <c r="N186" s="6"/>
      <c r="O186" s="550"/>
      <c r="P186" s="6"/>
    </row>
    <row r="187" spans="1:16" s="28" customFormat="1" ht="15" customHeight="1" outlineLevel="1">
      <c r="B187" s="65"/>
      <c r="C187" s="803" t="s">
        <v>1169</v>
      </c>
      <c r="D187" s="803"/>
      <c r="E187" s="803"/>
      <c r="F187" s="803"/>
      <c r="G187" s="803"/>
      <c r="H187" s="803"/>
      <c r="I187" s="803"/>
      <c r="J187" s="803"/>
      <c r="K187" s="803"/>
      <c r="L187" s="803"/>
      <c r="M187" s="147"/>
      <c r="N187" s="17"/>
      <c r="O187" s="547"/>
      <c r="P187" s="6"/>
    </row>
    <row r="188" spans="1:16" s="28" customFormat="1" ht="8.1" customHeight="1" outlineLevel="1">
      <c r="B188" s="65"/>
      <c r="C188" s="262"/>
      <c r="D188" s="262"/>
      <c r="E188" s="262"/>
      <c r="F188" s="262"/>
      <c r="G188" s="262"/>
      <c r="H188" s="262"/>
      <c r="I188" s="262"/>
      <c r="J188" s="262"/>
      <c r="K188" s="262"/>
      <c r="L188" s="262"/>
      <c r="M188" s="147"/>
      <c r="N188" s="17"/>
      <c r="O188" s="547"/>
      <c r="P188" s="6"/>
    </row>
    <row r="189" spans="1:16" s="28" customFormat="1" ht="39.75" customHeight="1" outlineLevel="1">
      <c r="B189" s="65"/>
      <c r="C189" s="801" t="s">
        <v>1589</v>
      </c>
      <c r="D189" s="801"/>
      <c r="E189" s="801"/>
      <c r="F189" s="801"/>
      <c r="G189" s="801"/>
      <c r="H189" s="801"/>
      <c r="I189" s="801"/>
      <c r="J189" s="801"/>
      <c r="K189" s="801"/>
      <c r="L189" s="801"/>
      <c r="M189" s="147"/>
      <c r="N189" s="19"/>
      <c r="O189" s="547"/>
      <c r="P189" s="6"/>
    </row>
    <row r="190" spans="1:16" s="28" customFormat="1" ht="8.1" customHeight="1" outlineLevel="1">
      <c r="B190" s="65"/>
      <c r="C190" s="685"/>
      <c r="D190" s="685"/>
      <c r="E190" s="685"/>
      <c r="F190" s="685"/>
      <c r="G190" s="685"/>
      <c r="H190" s="685"/>
      <c r="I190" s="685"/>
      <c r="J190" s="685"/>
      <c r="K190" s="685"/>
      <c r="L190" s="685"/>
      <c r="M190" s="147"/>
      <c r="N190" s="17"/>
      <c r="O190" s="549"/>
      <c r="P190" s="6"/>
    </row>
    <row r="191" spans="1:16" s="28" customFormat="1" ht="15" customHeight="1" outlineLevel="1">
      <c r="A191" s="29"/>
      <c r="B191" s="34"/>
      <c r="C191" s="262"/>
      <c r="D191" s="262"/>
      <c r="E191" s="264"/>
      <c r="F191" s="262" t="s">
        <v>1113</v>
      </c>
      <c r="G191" s="761" t="s">
        <v>1652</v>
      </c>
      <c r="H191" s="763"/>
      <c r="I191" s="262"/>
      <c r="J191" s="262"/>
      <c r="K191" s="489" t="s">
        <v>1585</v>
      </c>
      <c r="L191" s="523">
        <v>46753</v>
      </c>
      <c r="M191" s="684"/>
      <c r="N191" s="19"/>
      <c r="O191" s="6"/>
      <c r="P191" s="6"/>
    </row>
    <row r="192" spans="1:16" s="28" customFormat="1" ht="15" customHeight="1" outlineLevel="1">
      <c r="A192" s="29"/>
      <c r="B192" s="34"/>
      <c r="C192" s="262"/>
      <c r="D192" s="262"/>
      <c r="E192" s="264"/>
      <c r="F192" s="262" t="s">
        <v>1114</v>
      </c>
      <c r="G192" s="761" t="s">
        <v>1331</v>
      </c>
      <c r="H192" s="763"/>
      <c r="I192" s="262"/>
      <c r="J192" s="262"/>
      <c r="K192" s="489" t="s">
        <v>1586</v>
      </c>
      <c r="L192" s="523">
        <v>46878</v>
      </c>
      <c r="M192" s="684"/>
      <c r="N192" s="17"/>
      <c r="O192" s="6"/>
      <c r="P192" s="6"/>
    </row>
    <row r="193" spans="1:16" s="28" customFormat="1" ht="15" customHeight="1" outlineLevel="1">
      <c r="A193" s="29"/>
      <c r="B193" s="34"/>
      <c r="C193" s="262"/>
      <c r="D193" s="262"/>
      <c r="E193" s="264"/>
      <c r="F193" s="262" t="s">
        <v>1115</v>
      </c>
      <c r="G193" s="761" t="s">
        <v>1653</v>
      </c>
      <c r="H193" s="763"/>
      <c r="I193" s="262"/>
      <c r="J193" s="262"/>
      <c r="K193" s="683"/>
      <c r="L193" s="683"/>
      <c r="M193" s="684"/>
      <c r="N193" s="17"/>
      <c r="O193" s="6"/>
      <c r="P193" s="6"/>
    </row>
    <row r="194" spans="1:16" s="28" customFormat="1" ht="15" customHeight="1" outlineLevel="1">
      <c r="A194" s="29"/>
      <c r="B194" s="34"/>
      <c r="C194" s="262"/>
      <c r="D194" s="262"/>
      <c r="E194" s="264"/>
      <c r="F194" s="489" t="s">
        <v>1299</v>
      </c>
      <c r="G194" s="963">
        <v>46878</v>
      </c>
      <c r="H194" s="964"/>
      <c r="I194" s="262"/>
      <c r="J194" s="262"/>
      <c r="K194" s="683"/>
      <c r="L194" s="683"/>
      <c r="M194" s="684"/>
      <c r="N194" s="17"/>
      <c r="O194" s="6"/>
      <c r="P194" s="6"/>
    </row>
    <row r="195" spans="1:16" s="28" customFormat="1" ht="8.1" customHeight="1" outlineLevel="1">
      <c r="A195" s="29"/>
      <c r="B195" s="34"/>
      <c r="C195" s="262"/>
      <c r="D195" s="262"/>
      <c r="E195" s="262"/>
      <c r="F195" s="262"/>
      <c r="G195" s="262"/>
      <c r="H195" s="262"/>
      <c r="I195" s="262"/>
      <c r="J195" s="262"/>
      <c r="K195" s="683"/>
      <c r="L195" s="683"/>
      <c r="M195" s="684"/>
      <c r="N195" s="17"/>
      <c r="O195" s="6"/>
      <c r="P195" s="6"/>
    </row>
    <row r="196" spans="1:16" s="28" customFormat="1" ht="15" customHeight="1" outlineLevel="1">
      <c r="A196" s="29"/>
      <c r="B196" s="34"/>
      <c r="C196" s="388" t="s">
        <v>1212</v>
      </c>
      <c r="D196" s="388"/>
      <c r="E196" s="674"/>
      <c r="F196" s="674"/>
      <c r="G196" s="674"/>
      <c r="H196" s="674"/>
      <c r="I196" s="674"/>
      <c r="J196" s="675"/>
      <c r="K196" s="675"/>
      <c r="L196" s="268"/>
      <c r="M196" s="673"/>
      <c r="N196" s="6"/>
      <c r="O196" s="550"/>
      <c r="P196" s="6"/>
    </row>
    <row r="197" spans="1:16" s="28" customFormat="1" ht="60" customHeight="1" outlineLevel="1">
      <c r="A197" s="29"/>
      <c r="B197" s="151"/>
      <c r="C197" s="965" t="s">
        <v>1191</v>
      </c>
      <c r="D197" s="966"/>
      <c r="E197" s="679" t="s">
        <v>1192</v>
      </c>
      <c r="F197" s="679" t="s">
        <v>1057</v>
      </c>
      <c r="G197" s="679" t="s">
        <v>1059</v>
      </c>
      <c r="H197" s="679" t="s">
        <v>1175</v>
      </c>
      <c r="I197" s="679" t="s">
        <v>1174</v>
      </c>
      <c r="J197" s="679" t="s">
        <v>1060</v>
      </c>
      <c r="K197" s="679" t="s">
        <v>1332</v>
      </c>
      <c r="L197" s="679" t="s">
        <v>1239</v>
      </c>
      <c r="M197" s="673"/>
      <c r="N197" s="17"/>
      <c r="O197" s="6"/>
      <c r="P197" s="6"/>
    </row>
    <row r="198" spans="1:16" s="28" customFormat="1" ht="15" customHeight="1" outlineLevel="1">
      <c r="A198" s="29"/>
      <c r="B198" s="34"/>
      <c r="C198" s="891" t="s">
        <v>1178</v>
      </c>
      <c r="D198" s="893"/>
      <c r="E198" s="670" t="s">
        <v>1235</v>
      </c>
      <c r="F198" s="419" t="s">
        <v>1121</v>
      </c>
      <c r="G198" s="670" t="s">
        <v>1237</v>
      </c>
      <c r="H198" s="420" t="s">
        <v>1176</v>
      </c>
      <c r="I198" s="420" t="s">
        <v>1180</v>
      </c>
      <c r="J198" s="670" t="s">
        <v>1124</v>
      </c>
      <c r="K198" s="670" t="s">
        <v>1177</v>
      </c>
      <c r="L198" s="670" t="s">
        <v>1334</v>
      </c>
      <c r="M198" s="673"/>
      <c r="N198" s="209"/>
      <c r="O198" s="6"/>
      <c r="P198" s="6"/>
    </row>
    <row r="199" spans="1:16" s="6" customFormat="1" ht="30" customHeight="1" outlineLevel="1">
      <c r="A199" s="740"/>
      <c r="B199" s="741"/>
      <c r="C199" s="761" t="s">
        <v>1672</v>
      </c>
      <c r="D199" s="763"/>
      <c r="E199" s="554" t="s">
        <v>1673</v>
      </c>
      <c r="F199" s="592">
        <v>45877</v>
      </c>
      <c r="G199" s="554" t="s">
        <v>1674</v>
      </c>
      <c r="H199" s="554" t="s">
        <v>1675</v>
      </c>
      <c r="I199" s="556" t="s">
        <v>1248</v>
      </c>
      <c r="J199" s="738">
        <v>2</v>
      </c>
      <c r="K199" s="738">
        <v>50</v>
      </c>
      <c r="L199" s="704">
        <f>IF(COUNTA(C199:K199)&gt;7,VLOOKUP(I199,'Backend (to be hidden)'!$DP$2:$DU$8,5,FALSE)*J199*K199,"")</f>
        <v>80.653980752405957</v>
      </c>
      <c r="M199" s="744"/>
    </row>
    <row r="200" spans="1:16" s="6" customFormat="1" ht="30" customHeight="1" outlineLevel="1">
      <c r="A200" s="740"/>
      <c r="B200" s="741"/>
      <c r="C200" s="761" t="s">
        <v>1672</v>
      </c>
      <c r="D200" s="763"/>
      <c r="E200" s="554" t="s">
        <v>1673</v>
      </c>
      <c r="F200" s="592" t="s">
        <v>1676</v>
      </c>
      <c r="G200" s="554" t="s">
        <v>1674</v>
      </c>
      <c r="H200" s="554" t="s">
        <v>1677</v>
      </c>
      <c r="I200" s="556" t="s">
        <v>1248</v>
      </c>
      <c r="J200" s="738">
        <v>2</v>
      </c>
      <c r="K200" s="738">
        <v>50</v>
      </c>
      <c r="L200" s="704">
        <f>IF(COUNTA(C200:K200)&gt;7,VLOOKUP(I200,'Backend (to be hidden)'!$DP$2:$DU$8,5,FALSE)*J200*K200,"")</f>
        <v>80.653980752405957</v>
      </c>
      <c r="M200" s="744"/>
    </row>
    <row r="201" spans="1:16" s="6" customFormat="1" ht="30" customHeight="1" outlineLevel="1">
      <c r="A201" s="740"/>
      <c r="B201" s="741"/>
      <c r="C201" s="761" t="s">
        <v>1672</v>
      </c>
      <c r="D201" s="763"/>
      <c r="E201" s="554" t="s">
        <v>1673</v>
      </c>
      <c r="F201" s="592">
        <v>45938</v>
      </c>
      <c r="G201" s="554" t="s">
        <v>1674</v>
      </c>
      <c r="H201" s="554" t="s">
        <v>1675</v>
      </c>
      <c r="I201" s="556" t="s">
        <v>1248</v>
      </c>
      <c r="J201" s="738">
        <v>2</v>
      </c>
      <c r="K201" s="738">
        <v>50</v>
      </c>
      <c r="L201" s="704">
        <f>IF(COUNTA(C201:K201)&gt;7,VLOOKUP(I201,'Backend (to be hidden)'!$DP$2:$DU$8,5,FALSE)*J201*K201,"")</f>
        <v>80.653980752405957</v>
      </c>
      <c r="M201" s="744"/>
    </row>
    <row r="202" spans="1:16" s="28" customFormat="1" ht="15" customHeight="1" outlineLevel="1">
      <c r="A202" s="29"/>
      <c r="B202" s="34"/>
      <c r="C202" s="589" t="str">
        <f>_xlfn.CONCAT("Rows can be added to this table. See instructions in row ",ROW($C$8),".")</f>
        <v>Rows can be added to this table. See instructions in row 8.</v>
      </c>
      <c r="D202" s="589"/>
      <c r="E202" s="674"/>
      <c r="F202" s="674"/>
      <c r="G202" s="674"/>
      <c r="H202" s="674"/>
      <c r="I202" s="674"/>
      <c r="J202" s="674"/>
      <c r="K202" s="264" t="s">
        <v>1026</v>
      </c>
      <c r="L202" s="171">
        <f>SUM(L199:L201)</f>
        <v>241.96194225721786</v>
      </c>
      <c r="M202" s="673"/>
      <c r="N202" s="17"/>
      <c r="O202" s="6"/>
      <c r="P202" s="6"/>
    </row>
    <row r="203" spans="1:16" s="28" customFormat="1" ht="8.1" customHeight="1" outlineLevel="1">
      <c r="A203" s="29"/>
      <c r="B203" s="141"/>
      <c r="C203" s="264"/>
      <c r="D203" s="268"/>
      <c r="E203" s="268"/>
      <c r="F203" s="268"/>
      <c r="G203" s="268"/>
      <c r="H203" s="268"/>
      <c r="I203" s="268"/>
      <c r="J203" s="264"/>
      <c r="K203" s="264"/>
      <c r="L203" s="268"/>
      <c r="M203" s="155"/>
      <c r="N203" s="17"/>
      <c r="O203" s="6"/>
      <c r="P203" s="6"/>
    </row>
    <row r="204" spans="1:16" s="28" customFormat="1" ht="15" customHeight="1" outlineLevel="1">
      <c r="A204" s="29"/>
      <c r="B204" s="34"/>
      <c r="C204" s="35" t="s">
        <v>1587</v>
      </c>
      <c r="D204" s="35"/>
      <c r="E204" s="402"/>
      <c r="F204" s="674"/>
      <c r="G204" s="674"/>
      <c r="H204" s="674"/>
      <c r="I204" s="674"/>
      <c r="J204" s="674"/>
      <c r="K204" s="674"/>
      <c r="L204" s="675"/>
      <c r="M204" s="673"/>
      <c r="N204" s="6"/>
      <c r="O204" s="550"/>
      <c r="P204" s="6"/>
    </row>
    <row r="205" spans="1:16" s="28" customFormat="1" ht="69.95" customHeight="1" outlineLevel="1">
      <c r="A205" s="29"/>
      <c r="B205" s="34"/>
      <c r="C205" s="970" t="s">
        <v>1678</v>
      </c>
      <c r="D205" s="970"/>
      <c r="E205" s="970"/>
      <c r="F205" s="970"/>
      <c r="G205" s="970"/>
      <c r="H205" s="970"/>
      <c r="I205" s="970"/>
      <c r="J205" s="970"/>
      <c r="K205" s="970"/>
      <c r="L205" s="971"/>
      <c r="M205" s="673"/>
      <c r="N205" s="6"/>
      <c r="O205" s="550"/>
      <c r="P205" s="6"/>
    </row>
    <row r="206" spans="1:16" s="28" customFormat="1" ht="8.1" customHeight="1" thickBot="1">
      <c r="A206" s="29"/>
      <c r="B206" s="34"/>
      <c r="C206" s="674"/>
      <c r="D206" s="674"/>
      <c r="E206" s="674"/>
      <c r="F206" s="674"/>
      <c r="G206" s="674"/>
      <c r="H206" s="674"/>
      <c r="I206" s="674"/>
      <c r="J206" s="264"/>
      <c r="K206" s="264"/>
      <c r="L206" s="675"/>
      <c r="M206" s="673"/>
      <c r="N206" s="17"/>
      <c r="O206" s="6"/>
      <c r="P206" s="6"/>
    </row>
    <row r="207" spans="1:16" s="28" customFormat="1" ht="15" customHeight="1">
      <c r="B207" s="678"/>
      <c r="C207" s="777" t="s">
        <v>1141</v>
      </c>
      <c r="D207" s="777"/>
      <c r="E207" s="777"/>
      <c r="F207" s="777"/>
      <c r="G207" s="777"/>
      <c r="H207" s="777"/>
      <c r="I207" s="777"/>
      <c r="J207" s="777"/>
      <c r="K207" s="777"/>
      <c r="L207" s="777"/>
      <c r="M207" s="199"/>
      <c r="N207" s="17"/>
      <c r="O207" s="6"/>
      <c r="P207" s="6"/>
    </row>
    <row r="208" spans="1:16" s="28" customFormat="1" ht="15" customHeight="1">
      <c r="B208" s="65"/>
      <c r="C208" s="338"/>
      <c r="D208" s="339"/>
      <c r="E208" s="339"/>
      <c r="F208" s="339"/>
      <c r="G208" s="339"/>
      <c r="H208" s="339"/>
      <c r="I208" s="339"/>
      <c r="J208" s="262"/>
      <c r="K208" s="339"/>
      <c r="L208" s="339"/>
      <c r="M208" s="50"/>
      <c r="N208" s="17"/>
      <c r="O208" s="6"/>
      <c r="P208" s="6"/>
    </row>
    <row r="209" spans="1:16" s="28" customFormat="1" ht="15" customHeight="1">
      <c r="B209" s="65"/>
      <c r="C209" s="379" t="s">
        <v>1161</v>
      </c>
      <c r="D209" s="340"/>
      <c r="E209" s="340"/>
      <c r="F209" s="340"/>
      <c r="G209" s="340"/>
      <c r="H209" s="340"/>
      <c r="I209" s="340"/>
      <c r="J209" s="340"/>
      <c r="K209" s="389" t="s">
        <v>1243</v>
      </c>
      <c r="L209" s="670" t="str">
        <f>IF(ISBLANK('7. ILCs - Design '!I263),"",'7. ILCs - Design '!I263)</f>
        <v>Yes</v>
      </c>
      <c r="M209" s="50"/>
      <c r="N209" s="17"/>
      <c r="O209" s="6"/>
      <c r="P209" s="6"/>
    </row>
    <row r="210" spans="1:16" s="28" customFormat="1" ht="15" customHeight="1">
      <c r="B210" s="65"/>
      <c r="C210" s="338"/>
      <c r="D210" s="339"/>
      <c r="E210" s="339"/>
      <c r="F210" s="339"/>
      <c r="G210" s="339"/>
      <c r="H210" s="339"/>
      <c r="I210" s="339"/>
      <c r="J210" s="339"/>
      <c r="K210" s="339"/>
      <c r="L210" s="339"/>
      <c r="M210" s="50"/>
      <c r="N210" s="17"/>
      <c r="O210" s="6"/>
      <c r="P210" s="6"/>
    </row>
    <row r="211" spans="1:16" s="197" customFormat="1" ht="15" customHeight="1">
      <c r="B211" s="386"/>
      <c r="C211" s="821" t="s">
        <v>1352</v>
      </c>
      <c r="D211" s="821"/>
      <c r="E211" s="821"/>
      <c r="F211" s="821"/>
      <c r="G211" s="821"/>
      <c r="H211" s="821"/>
      <c r="I211" s="821"/>
      <c r="J211" s="821"/>
      <c r="K211" s="821"/>
      <c r="L211" s="821"/>
      <c r="M211" s="387"/>
      <c r="N211" s="17"/>
      <c r="O211" s="552"/>
      <c r="P211" s="552"/>
    </row>
    <row r="212" spans="1:16" s="28" customFormat="1" ht="15" customHeight="1">
      <c r="B212" s="65"/>
      <c r="C212" s="681" t="s">
        <v>1240</v>
      </c>
      <c r="D212" s="339"/>
      <c r="E212" s="339"/>
      <c r="F212" s="339"/>
      <c r="G212" s="339"/>
      <c r="H212" s="339"/>
      <c r="I212" s="339"/>
      <c r="J212" s="339"/>
      <c r="K212" s="339"/>
      <c r="L212" s="339"/>
      <c r="M212" s="50"/>
      <c r="N212" s="17"/>
      <c r="O212" s="6"/>
      <c r="P212" s="6"/>
    </row>
    <row r="213" spans="1:16" s="28" customFormat="1" ht="15" customHeight="1" outlineLevel="1">
      <c r="B213" s="65"/>
      <c r="C213" s="681"/>
      <c r="D213" s="339"/>
      <c r="E213" s="339"/>
      <c r="F213" s="339"/>
      <c r="G213" s="339"/>
      <c r="H213" s="339"/>
      <c r="I213" s="339"/>
      <c r="J213" s="339"/>
      <c r="K213" s="339"/>
      <c r="L213" s="339"/>
      <c r="M213" s="50"/>
      <c r="N213" s="17"/>
      <c r="O213" s="6"/>
      <c r="P213" s="6"/>
    </row>
    <row r="214" spans="1:16" s="28" customFormat="1" ht="15" customHeight="1" outlineLevel="1">
      <c r="A214" s="29"/>
      <c r="B214" s="34"/>
      <c r="C214" s="378" t="s">
        <v>1142</v>
      </c>
      <c r="D214" s="378"/>
      <c r="E214" s="378"/>
      <c r="F214" s="378"/>
      <c r="G214" s="378"/>
      <c r="H214" s="378"/>
      <c r="I214" s="378"/>
      <c r="J214" s="378"/>
      <c r="K214" s="378"/>
      <c r="L214" s="378"/>
      <c r="M214" s="673"/>
      <c r="N214" s="17"/>
      <c r="O214" s="6"/>
      <c r="P214" s="6"/>
    </row>
    <row r="215" spans="1:16" s="28" customFormat="1" ht="30" customHeight="1" outlineLevel="1">
      <c r="A215" s="29"/>
      <c r="B215" s="34"/>
      <c r="C215" s="504" t="s">
        <v>1048</v>
      </c>
      <c r="D215" s="901" t="s">
        <v>1162</v>
      </c>
      <c r="E215" s="801"/>
      <c r="F215" s="801"/>
      <c r="G215" s="801"/>
      <c r="H215" s="801"/>
      <c r="I215" s="801"/>
      <c r="J215" s="801"/>
      <c r="K215" s="801"/>
      <c r="L215" s="801"/>
      <c r="M215" s="673"/>
      <c r="N215" s="17"/>
      <c r="O215" s="6"/>
      <c r="P215" s="6"/>
    </row>
    <row r="216" spans="1:16" s="28" customFormat="1" ht="15" customHeight="1" outlineLevel="1">
      <c r="A216" s="29"/>
      <c r="B216" s="34"/>
      <c r="C216" s="504" t="s">
        <v>1048</v>
      </c>
      <c r="D216" s="961" t="s">
        <v>1599</v>
      </c>
      <c r="E216" s="962"/>
      <c r="F216" s="962"/>
      <c r="G216" s="962"/>
      <c r="H216" s="962"/>
      <c r="I216" s="962"/>
      <c r="J216" s="962"/>
      <c r="K216" s="962"/>
      <c r="L216" s="962"/>
      <c r="M216" s="673"/>
      <c r="N216" s="17"/>
      <c r="O216" s="6"/>
      <c r="P216" s="6"/>
    </row>
    <row r="217" spans="1:16" s="28" customFormat="1" ht="15" customHeight="1" outlineLevel="1">
      <c r="A217" s="29"/>
      <c r="B217" s="34"/>
      <c r="C217" s="504" t="s">
        <v>1048</v>
      </c>
      <c r="D217" s="680" t="s">
        <v>1598</v>
      </c>
      <c r="E217" s="681"/>
      <c r="F217" s="681"/>
      <c r="G217" s="681"/>
      <c r="H217" s="681"/>
      <c r="I217" s="681"/>
      <c r="J217" s="681"/>
      <c r="K217" s="681"/>
      <c r="L217" s="681"/>
      <c r="M217" s="673"/>
      <c r="N217" s="17"/>
      <c r="O217" s="6"/>
      <c r="P217" s="6"/>
    </row>
    <row r="218" spans="1:16" s="28" customFormat="1" ht="15" customHeight="1" outlineLevel="1">
      <c r="B218" s="65"/>
      <c r="C218" s="504" t="s">
        <v>1048</v>
      </c>
      <c r="D218" s="961" t="s">
        <v>1351</v>
      </c>
      <c r="E218" s="962"/>
      <c r="F218" s="962"/>
      <c r="G218" s="962"/>
      <c r="H218" s="962"/>
      <c r="I218" s="962"/>
      <c r="J218" s="962"/>
      <c r="K218" s="962"/>
      <c r="L218" s="962"/>
      <c r="M218" s="673"/>
      <c r="N218" s="17"/>
      <c r="O218" s="6"/>
      <c r="P218" s="6"/>
    </row>
    <row r="219" spans="1:16" s="28" customFormat="1" ht="15" customHeight="1" outlineLevel="1">
      <c r="A219" s="29"/>
      <c r="B219" s="34"/>
      <c r="C219" s="504" t="s">
        <v>1048</v>
      </c>
      <c r="D219" s="961" t="s">
        <v>1163</v>
      </c>
      <c r="E219" s="962"/>
      <c r="F219" s="962"/>
      <c r="G219" s="962"/>
      <c r="H219" s="962"/>
      <c r="I219" s="962"/>
      <c r="J219" s="962"/>
      <c r="K219" s="962"/>
      <c r="L219" s="962"/>
      <c r="M219" s="673"/>
      <c r="N219" s="17"/>
      <c r="O219" s="6"/>
      <c r="P219" s="6"/>
    </row>
    <row r="220" spans="1:16" s="28" customFormat="1" ht="15.75" outlineLevel="1">
      <c r="A220" s="29"/>
      <c r="B220" s="34"/>
      <c r="C220" s="901" t="s">
        <v>1597</v>
      </c>
      <c r="D220" s="801"/>
      <c r="E220" s="801"/>
      <c r="F220" s="801"/>
      <c r="G220" s="801"/>
      <c r="H220" s="801"/>
      <c r="I220" s="801"/>
      <c r="J220" s="801"/>
      <c r="K220" s="801"/>
      <c r="L220" s="801"/>
      <c r="M220" s="673"/>
      <c r="N220" s="17"/>
      <c r="O220" s="6"/>
      <c r="P220" s="6"/>
    </row>
    <row r="221" spans="1:16" s="28" customFormat="1" ht="15.75" outlineLevel="1">
      <c r="A221" s="29"/>
      <c r="B221" s="34"/>
      <c r="C221" s="504" t="s">
        <v>1048</v>
      </c>
      <c r="D221" s="901" t="s">
        <v>1591</v>
      </c>
      <c r="E221" s="801"/>
      <c r="F221" s="801"/>
      <c r="G221" s="801"/>
      <c r="H221" s="801"/>
      <c r="I221" s="801"/>
      <c r="J221" s="801"/>
      <c r="K221" s="801"/>
      <c r="L221" s="801"/>
      <c r="M221" s="684"/>
      <c r="N221" s="17"/>
      <c r="O221" s="6"/>
      <c r="P221" s="6"/>
    </row>
    <row r="222" spans="1:16" s="28" customFormat="1" ht="15.75" outlineLevel="1">
      <c r="A222" s="29"/>
      <c r="B222" s="34"/>
      <c r="C222" s="504" t="s">
        <v>1048</v>
      </c>
      <c r="D222" s="901" t="s">
        <v>1592</v>
      </c>
      <c r="E222" s="801"/>
      <c r="F222" s="801"/>
      <c r="G222" s="801"/>
      <c r="H222" s="801"/>
      <c r="I222" s="801"/>
      <c r="J222" s="801"/>
      <c r="K222" s="801"/>
      <c r="L222" s="801"/>
      <c r="M222" s="684"/>
      <c r="N222" s="17"/>
      <c r="O222" s="6"/>
      <c r="P222" s="6"/>
    </row>
    <row r="223" spans="1:16" s="28" customFormat="1" ht="15.75" outlineLevel="1">
      <c r="A223" s="29"/>
      <c r="B223" s="34"/>
      <c r="C223" s="504" t="s">
        <v>1048</v>
      </c>
      <c r="D223" s="901" t="s">
        <v>1596</v>
      </c>
      <c r="E223" s="801"/>
      <c r="F223" s="801"/>
      <c r="G223" s="801"/>
      <c r="H223" s="801"/>
      <c r="I223" s="801"/>
      <c r="J223" s="801"/>
      <c r="K223" s="801"/>
      <c r="L223" s="801"/>
      <c r="M223" s="684"/>
      <c r="N223" s="17"/>
      <c r="O223" s="6"/>
      <c r="P223" s="6"/>
    </row>
    <row r="224" spans="1:16" s="28" customFormat="1" ht="15.75" outlineLevel="1">
      <c r="A224" s="29"/>
      <c r="B224" s="34"/>
      <c r="C224" s="504" t="s">
        <v>1048</v>
      </c>
      <c r="D224" s="901" t="s">
        <v>1593</v>
      </c>
      <c r="E224" s="801"/>
      <c r="F224" s="801"/>
      <c r="G224" s="801"/>
      <c r="H224" s="801"/>
      <c r="I224" s="801"/>
      <c r="J224" s="801"/>
      <c r="K224" s="801"/>
      <c r="L224" s="801"/>
      <c r="M224" s="684"/>
      <c r="N224" s="17"/>
      <c r="O224" s="6"/>
      <c r="P224" s="6"/>
    </row>
    <row r="225" spans="1:16" s="28" customFormat="1" ht="15.75" outlineLevel="1">
      <c r="A225" s="29"/>
      <c r="B225" s="34"/>
      <c r="C225" s="504" t="s">
        <v>1048</v>
      </c>
      <c r="D225" s="901" t="s">
        <v>1594</v>
      </c>
      <c r="E225" s="801"/>
      <c r="F225" s="801"/>
      <c r="G225" s="801"/>
      <c r="H225" s="801"/>
      <c r="I225" s="801"/>
      <c r="J225" s="801"/>
      <c r="K225" s="801"/>
      <c r="L225" s="801"/>
      <c r="M225" s="684"/>
      <c r="N225" s="17"/>
      <c r="O225" s="6"/>
      <c r="P225" s="6"/>
    </row>
    <row r="226" spans="1:16" s="28" customFormat="1" ht="15.75" outlineLevel="1">
      <c r="A226" s="29"/>
      <c r="B226" s="34"/>
      <c r="C226" s="504" t="s">
        <v>1048</v>
      </c>
      <c r="D226" s="901" t="s">
        <v>1595</v>
      </c>
      <c r="E226" s="801"/>
      <c r="F226" s="801"/>
      <c r="G226" s="801"/>
      <c r="H226" s="801"/>
      <c r="I226" s="801"/>
      <c r="J226" s="801"/>
      <c r="K226" s="801"/>
      <c r="L226" s="801"/>
      <c r="M226" s="684"/>
      <c r="N226" s="17"/>
      <c r="O226" s="6"/>
      <c r="P226" s="6"/>
    </row>
    <row r="227" spans="1:16" s="28" customFormat="1" ht="15" customHeight="1" thickBot="1">
      <c r="A227" s="29"/>
      <c r="B227" s="55"/>
      <c r="C227" s="56"/>
      <c r="D227" s="56"/>
      <c r="E227" s="56"/>
      <c r="F227" s="56"/>
      <c r="G227" s="56"/>
      <c r="H227" s="56"/>
      <c r="I227" s="56"/>
      <c r="J227" s="56"/>
      <c r="K227" s="56"/>
      <c r="L227" s="56"/>
      <c r="M227" s="161"/>
      <c r="N227" s="17"/>
      <c r="O227" s="6"/>
      <c r="P227" s="6"/>
    </row>
    <row r="228" spans="1:16" s="102" customFormat="1" ht="15" customHeight="1">
      <c r="A228" s="28"/>
      <c r="B228" s="28"/>
      <c r="C228" s="28"/>
      <c r="D228" s="28"/>
      <c r="E228" s="28"/>
      <c r="F228" s="28"/>
      <c r="G228" s="28"/>
      <c r="H228" s="28"/>
      <c r="I228" s="28"/>
      <c r="J228" s="28"/>
      <c r="K228" s="28"/>
      <c r="L228" s="28"/>
      <c r="N228" s="530"/>
      <c r="O228" s="6"/>
      <c r="P228" s="6"/>
    </row>
    <row r="229" spans="1:16">
      <c r="M229" s="102"/>
      <c r="N229" s="530"/>
    </row>
    <row r="230" spans="1:16" hidden="1">
      <c r="M230" s="102"/>
      <c r="N230" s="530"/>
    </row>
    <row r="231" spans="1:16" hidden="1">
      <c r="M231" s="102"/>
      <c r="N231" s="530"/>
    </row>
    <row r="232" spans="1:16" hidden="1">
      <c r="M232" s="102"/>
      <c r="N232" s="530"/>
    </row>
    <row r="233" spans="1:16" hidden="1">
      <c r="M233" s="102"/>
      <c r="N233" s="530"/>
    </row>
    <row r="234" spans="1:16" hidden="1">
      <c r="M234" s="102"/>
      <c r="N234" s="530"/>
    </row>
    <row r="235" spans="1:16" hidden="1">
      <c r="M235" s="102"/>
      <c r="N235" s="530"/>
    </row>
    <row r="236" spans="1:16" hidden="1">
      <c r="M236" s="102"/>
      <c r="N236" s="530"/>
    </row>
    <row r="237" spans="1:16" hidden="1">
      <c r="M237" s="102"/>
      <c r="N237" s="530"/>
    </row>
    <row r="238" spans="1:16" hidden="1">
      <c r="M238" s="102"/>
      <c r="N238" s="530"/>
    </row>
    <row r="239" spans="1:16" hidden="1">
      <c r="M239" s="102"/>
      <c r="N239" s="530"/>
    </row>
    <row r="240" spans="1:16" hidden="1">
      <c r="M240" s="102"/>
      <c r="N240" s="530"/>
    </row>
    <row r="241" spans="3:14" hidden="1">
      <c r="M241" s="102"/>
      <c r="N241" s="530"/>
    </row>
    <row r="242" spans="3:14" hidden="1">
      <c r="M242" s="102"/>
      <c r="N242" s="530"/>
    </row>
    <row r="243" spans="3:14" hidden="1">
      <c r="M243" s="102"/>
      <c r="N243" s="530"/>
    </row>
    <row r="244" spans="3:14" hidden="1">
      <c r="M244" s="102"/>
      <c r="N244" s="530"/>
    </row>
    <row r="245" spans="3:14" hidden="1">
      <c r="M245" s="102"/>
      <c r="N245" s="530"/>
    </row>
    <row r="246" spans="3:14" hidden="1">
      <c r="M246" s="102"/>
      <c r="N246" s="530"/>
    </row>
    <row r="247" spans="3:14" hidden="1">
      <c r="M247" s="102"/>
      <c r="N247" s="530"/>
    </row>
    <row r="248" spans="3:14" hidden="1">
      <c r="C248" s="162"/>
      <c r="D248" s="162"/>
      <c r="E248" s="162"/>
      <c r="F248" s="162"/>
      <c r="G248" s="162"/>
      <c r="H248" s="162"/>
      <c r="I248" s="162"/>
      <c r="J248" s="162"/>
    </row>
    <row r="249" spans="3:14" hidden="1">
      <c r="C249" s="162"/>
      <c r="D249" s="162"/>
      <c r="E249" s="162"/>
      <c r="F249" s="162"/>
      <c r="G249" s="162"/>
      <c r="H249" s="162"/>
      <c r="I249" s="162"/>
      <c r="J249" s="162"/>
    </row>
    <row r="250" spans="3:14" hidden="1">
      <c r="C250" s="162"/>
      <c r="D250" s="162"/>
      <c r="E250" s="162"/>
      <c r="F250" s="162"/>
      <c r="G250" s="162"/>
      <c r="H250" s="162"/>
      <c r="I250" s="162"/>
      <c r="J250" s="162"/>
    </row>
    <row r="251" spans="3:14"/>
    <row r="252" spans="3:14"/>
    <row r="253" spans="3:14"/>
    <row r="254" spans="3:14"/>
    <row r="255" spans="3:14"/>
    <row r="256" spans="3:14"/>
    <row r="257"/>
    <row r="258"/>
  </sheetData>
  <sheetProtection algorithmName="SHA-512" hashValue="7bVCg9PNwPkvK7D1dFBpacqLZ1m0B0L+GfgEIHis5jsT/iFK6V1l34jwZuCiI2FPTmdeDPtcVTNe858uZzLNbw==" saltValue="lhSAos35HnyZI+CPhmq7PQ==" spinCount="100000" sheet="1" formatRows="0" insertRows="0"/>
  <mergeCells count="150">
    <mergeCell ref="D226:L226"/>
    <mergeCell ref="C220:L220"/>
    <mergeCell ref="D221:L221"/>
    <mergeCell ref="D222:L222"/>
    <mergeCell ref="D223:L223"/>
    <mergeCell ref="D224:L224"/>
    <mergeCell ref="D225:L225"/>
    <mergeCell ref="C200:D200"/>
    <mergeCell ref="C201:D201"/>
    <mergeCell ref="C164:L164"/>
    <mergeCell ref="C160:D160"/>
    <mergeCell ref="C176:D176"/>
    <mergeCell ref="C177:D177"/>
    <mergeCell ref="C178:D178"/>
    <mergeCell ref="C179:D179"/>
    <mergeCell ref="H152:I152"/>
    <mergeCell ref="C187:L187"/>
    <mergeCell ref="H153:I153"/>
    <mergeCell ref="C166:L166"/>
    <mergeCell ref="C168:L168"/>
    <mergeCell ref="H176:I176"/>
    <mergeCell ref="H177:I177"/>
    <mergeCell ref="G170:H170"/>
    <mergeCell ref="G171:H171"/>
    <mergeCell ref="G172:H172"/>
    <mergeCell ref="G173:H173"/>
    <mergeCell ref="C153:D153"/>
    <mergeCell ref="C156:D156"/>
    <mergeCell ref="C157:D157"/>
    <mergeCell ref="C158:D158"/>
    <mergeCell ref="C159:D159"/>
    <mergeCell ref="C152:D152"/>
    <mergeCell ref="H178:I178"/>
    <mergeCell ref="C21:L21"/>
    <mergeCell ref="I23:L23"/>
    <mergeCell ref="I86:L86"/>
    <mergeCell ref="I84:L84"/>
    <mergeCell ref="I83:L83"/>
    <mergeCell ref="I82:L82"/>
    <mergeCell ref="J116:L116"/>
    <mergeCell ref="D126:E126"/>
    <mergeCell ref="I126:J126"/>
    <mergeCell ref="C89:L89"/>
    <mergeCell ref="C96:L96"/>
    <mergeCell ref="C109:L109"/>
    <mergeCell ref="G112:H112"/>
    <mergeCell ref="C114:L115"/>
    <mergeCell ref="D122:L122"/>
    <mergeCell ref="D121:L121"/>
    <mergeCell ref="C118:E118"/>
    <mergeCell ref="D120:L120"/>
    <mergeCell ref="D124:E124"/>
    <mergeCell ref="I124:J124"/>
    <mergeCell ref="D125:E125"/>
    <mergeCell ref="I125:J125"/>
    <mergeCell ref="D119:L119"/>
    <mergeCell ref="F34:G34"/>
    <mergeCell ref="F2:J2"/>
    <mergeCell ref="G4:I4"/>
    <mergeCell ref="K4:L4"/>
    <mergeCell ref="G5:I5"/>
    <mergeCell ref="C7:L7"/>
    <mergeCell ref="C8:L8"/>
    <mergeCell ref="C9:L9"/>
    <mergeCell ref="C11:L11"/>
    <mergeCell ref="C18:L18"/>
    <mergeCell ref="K33:L33"/>
    <mergeCell ref="K34:L34"/>
    <mergeCell ref="I28:J28"/>
    <mergeCell ref="K28:L28"/>
    <mergeCell ref="C30:L30"/>
    <mergeCell ref="C36:L36"/>
    <mergeCell ref="C51:L51"/>
    <mergeCell ref="I24:J24"/>
    <mergeCell ref="K24:L24"/>
    <mergeCell ref="I25:J25"/>
    <mergeCell ref="K25:L25"/>
    <mergeCell ref="I26:J26"/>
    <mergeCell ref="K26:L26"/>
    <mergeCell ref="I27:J27"/>
    <mergeCell ref="K27:L27"/>
    <mergeCell ref="K32:L32"/>
    <mergeCell ref="F32:G32"/>
    <mergeCell ref="F33:G33"/>
    <mergeCell ref="C56:L56"/>
    <mergeCell ref="G59:H59"/>
    <mergeCell ref="C61:L62"/>
    <mergeCell ref="C72:E72"/>
    <mergeCell ref="F72:G72"/>
    <mergeCell ref="H72:J72"/>
    <mergeCell ref="K72:L72"/>
    <mergeCell ref="J63:L63"/>
    <mergeCell ref="C52:L52"/>
    <mergeCell ref="C73:E73"/>
    <mergeCell ref="F73:G73"/>
    <mergeCell ref="H73:J73"/>
    <mergeCell ref="K73:L73"/>
    <mergeCell ref="C74:E74"/>
    <mergeCell ref="F74:G74"/>
    <mergeCell ref="H74:J74"/>
    <mergeCell ref="K74:L74"/>
    <mergeCell ref="I85:L85"/>
    <mergeCell ref="C75:E75"/>
    <mergeCell ref="F75:G75"/>
    <mergeCell ref="C76:E76"/>
    <mergeCell ref="F76:G76"/>
    <mergeCell ref="C77:E77"/>
    <mergeCell ref="F77:G77"/>
    <mergeCell ref="I81:L81"/>
    <mergeCell ref="C79:L79"/>
    <mergeCell ref="H151:I151"/>
    <mergeCell ref="D127:E127"/>
    <mergeCell ref="I127:J127"/>
    <mergeCell ref="C130:L130"/>
    <mergeCell ref="K132:L132"/>
    <mergeCell ref="K133:L133"/>
    <mergeCell ref="G142:H142"/>
    <mergeCell ref="G143:H143"/>
    <mergeCell ref="G144:H144"/>
    <mergeCell ref="G145:H145"/>
    <mergeCell ref="C138:L138"/>
    <mergeCell ref="C140:L140"/>
    <mergeCell ref="H148:I148"/>
    <mergeCell ref="H149:I149"/>
    <mergeCell ref="H150:I150"/>
    <mergeCell ref="C148:D148"/>
    <mergeCell ref="C149:D149"/>
    <mergeCell ref="C150:D150"/>
    <mergeCell ref="C151:D151"/>
    <mergeCell ref="H179:I179"/>
    <mergeCell ref="H180:I180"/>
    <mergeCell ref="H181:I181"/>
    <mergeCell ref="C180:D180"/>
    <mergeCell ref="C181:D181"/>
    <mergeCell ref="D216:L216"/>
    <mergeCell ref="D218:L218"/>
    <mergeCell ref="D219:L219"/>
    <mergeCell ref="C189:L189"/>
    <mergeCell ref="C207:L207"/>
    <mergeCell ref="C211:L211"/>
    <mergeCell ref="D215:L215"/>
    <mergeCell ref="G191:H191"/>
    <mergeCell ref="G192:H192"/>
    <mergeCell ref="G193:H193"/>
    <mergeCell ref="G194:H194"/>
    <mergeCell ref="C197:D197"/>
    <mergeCell ref="C198:D198"/>
    <mergeCell ref="C199:D199"/>
    <mergeCell ref="C185:L185"/>
    <mergeCell ref="C205:L205"/>
  </mergeCells>
  <conditionalFormatting sqref="C65:L77">
    <cfRule type="expression" dxfId="58" priority="1929">
      <formula>$J$63="This form"</formula>
    </cfRule>
  </conditionalFormatting>
  <conditionalFormatting sqref="C65:L105">
    <cfRule type="expression" dxfId="57" priority="1930">
      <formula>$J$63=""</formula>
    </cfRule>
  </conditionalFormatting>
  <conditionalFormatting sqref="C118:L128">
    <cfRule type="expression" dxfId="55" priority="1937">
      <formula>$J$116="This form"</formula>
    </cfRule>
  </conditionalFormatting>
  <conditionalFormatting sqref="C118:L205">
    <cfRule type="expression" dxfId="54" priority="1941">
      <formula>$J$116=""</formula>
    </cfRule>
  </conditionalFormatting>
  <conditionalFormatting sqref="F82:F86">
    <cfRule type="expression" dxfId="49" priority="1931">
      <formula>$J$63="Manual calculations"</formula>
    </cfRule>
  </conditionalFormatting>
  <conditionalFormatting sqref="G133:I133">
    <cfRule type="expression" dxfId="48" priority="1954">
      <formula>$J$116="Manual Calculations"</formula>
    </cfRule>
  </conditionalFormatting>
  <conditionalFormatting sqref="H82:H87 K133">
    <cfRule type="cellIs" dxfId="47" priority="100" operator="equal">
      <formula>"No"</formula>
    </cfRule>
    <cfRule type="cellIs" dxfId="46" priority="104" operator="equal">
      <formula>"Yes"</formula>
    </cfRule>
  </conditionalFormatting>
  <conditionalFormatting sqref="H40:I47">
    <cfRule type="expression" dxfId="45" priority="99">
      <formula>OR($L$16="No",$L$16="")</formula>
    </cfRule>
  </conditionalFormatting>
  <conditionalFormatting sqref="K28 I28">
    <cfRule type="cellIs" dxfId="44" priority="102" operator="equal">
      <formula>"No"</formula>
    </cfRule>
    <cfRule type="cellIs" dxfId="43" priority="103" operator="equal">
      <formula>"Yes"</formula>
    </cfRule>
  </conditionalFormatting>
  <conditionalFormatting sqref="K24:L28">
    <cfRule type="expression" dxfId="42" priority="101">
      <formula>OR($L$16="No",$L$16="")</formula>
    </cfRule>
  </conditionalFormatting>
  <dataValidations count="1">
    <dataValidation type="list" allowBlank="1" showInputMessage="1" showErrorMessage="1" sqref="G40:G47" xr:uid="{22E770D3-4773-4DF3-AED5-EDB3072B688D}">
      <formula1>INDIRECT("scope")</formula1>
    </dataValidation>
  </dataValidations>
  <pageMargins left="0.75" right="0.75" top="0.5" bottom="0.5" header="0.3" footer="0.3"/>
  <pageSetup scale="80" orientation="landscape" r:id="rId1"/>
  <rowBreaks count="8" manualBreakCount="8">
    <brk id="35" min="1" max="12" man="1"/>
    <brk id="53" min="1" max="12" man="1"/>
    <brk id="88" min="1" max="12" man="1"/>
    <brk id="106" max="16383" man="1"/>
    <brk id="137" min="1" max="12" man="1"/>
    <brk id="165" min="1" max="12" man="1"/>
    <brk id="186" max="16383" man="1"/>
    <brk id="206" min="1" max="12" man="1"/>
  </rowBreaks>
  <colBreaks count="1" manualBreakCount="1">
    <brk id="13" min="1" max="205" man="1"/>
  </col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2" id="{F1D6A1DA-8CFC-431E-B43B-F77169BE4850}">
            <xm:f>OR('3. EC Modelling Info'!$F$120="No",ISBLANK('3. EC Modelling Info'!$F$120))</xm:f>
            <x14:dxf>
              <font>
                <color theme="0" tint="-0.14996795556505021"/>
              </font>
              <fill>
                <patternFill>
                  <bgColor theme="0" tint="-0.14996795556505021"/>
                </patternFill>
              </fill>
              <border>
                <left/>
                <right/>
                <top/>
                <bottom/>
                <vertical/>
                <horizontal/>
              </border>
            </x14:dxf>
          </x14:cfRule>
          <xm:sqref>C13:L205</xm:sqref>
        </x14:conditionalFormatting>
        <x14:conditionalFormatting xmlns:xm="http://schemas.microsoft.com/office/excel/2006/main">
          <x14:cfRule type="expression" priority="80" id="{F448B5FE-920E-4A2E-BDCD-8696D65A5110}">
            <xm:f>OR('7. ILCs - Design '!$I$70="No",ISBLANK('7. ILCs - Design '!$I$70))</xm:f>
            <x14:dxf>
              <font>
                <strike val="0"/>
                <color theme="0" tint="-0.14993743705557422"/>
              </font>
              <fill>
                <patternFill>
                  <bgColor theme="0" tint="-0.14996795556505021"/>
                </patternFill>
              </fill>
              <border>
                <left/>
                <right/>
                <top/>
                <bottom/>
                <vertical/>
                <horizontal/>
              </border>
            </x14:dxf>
          </x14:cfRule>
          <xm:sqref>C15:L52</xm:sqref>
        </x14:conditionalFormatting>
        <x14:conditionalFormatting xmlns:xm="http://schemas.microsoft.com/office/excel/2006/main">
          <x14:cfRule type="expression" priority="75" id="{63CF822D-F269-49DE-8503-F8155FA7A585}">
            <xm:f>OR('7. ILCs - Design '!$I$106="No",ISBLANK('7. ILCs - Design '!$I$106))</xm:f>
            <x14:dxf>
              <font>
                <strike val="0"/>
                <color theme="0" tint="-0.14996795556505021"/>
              </font>
              <fill>
                <patternFill>
                  <bgColor theme="0" tint="-0.14996795556505021"/>
                </patternFill>
              </fill>
              <border>
                <left/>
                <right/>
                <top/>
                <bottom/>
                <vertical/>
                <horizontal/>
              </border>
            </x14:dxf>
          </x14:cfRule>
          <xm:sqref>C56:L105</xm:sqref>
        </x14:conditionalFormatting>
        <x14:conditionalFormatting xmlns:xm="http://schemas.microsoft.com/office/excel/2006/main">
          <x14:cfRule type="expression" priority="43" id="{621F8F99-FD74-4150-B130-0DD4F2061567}">
            <xm:f>OR('7. ILCs - Design '!$I$129="No",ISBLANK('7. ILCs - Design '!$I$129))</xm:f>
            <x14:dxf>
              <font>
                <color theme="0" tint="-0.14996795556505021"/>
              </font>
              <fill>
                <patternFill>
                  <bgColor theme="0" tint="-0.14996795556505021"/>
                </patternFill>
              </fill>
              <border>
                <left/>
                <right/>
                <top/>
                <bottom/>
                <vertical/>
                <horizontal/>
              </border>
            </x14:dxf>
          </x14:cfRule>
          <xm:sqref>C109:L205</xm:sqref>
        </x14:conditionalFormatting>
        <x14:conditionalFormatting xmlns:xm="http://schemas.microsoft.com/office/excel/2006/main">
          <x14:cfRule type="expression" priority="16" id="{311A2F90-7308-4487-AD71-2A8067BD4865}">
            <xm:f>OR('7. ILCs - Design '!$H$137="No",ISBLANK('7. ILCs - Design '!$H$137))</xm:f>
            <x14:dxf>
              <font>
                <color theme="0" tint="-0.14996795556505021"/>
              </font>
              <fill>
                <patternFill>
                  <bgColor theme="0" tint="-0.14996795556505021"/>
                </patternFill>
              </fill>
              <border>
                <left/>
                <right/>
                <top/>
                <bottom/>
                <vertical/>
                <horizontal/>
              </border>
            </x14:dxf>
          </x14:cfRule>
          <xm:sqref>C138:L164</xm:sqref>
        </x14:conditionalFormatting>
        <x14:conditionalFormatting xmlns:xm="http://schemas.microsoft.com/office/excel/2006/main">
          <x14:cfRule type="expression" priority="37" id="{9D32147B-3FFD-4336-9269-01EF456ABBE7}">
            <xm:f>OR('7. ILCs - Design '!$H$138="No",ISBLANK('7. ILCs - Design '!$H$138))</xm:f>
            <x14:dxf>
              <font>
                <color theme="0" tint="-0.14996795556505021"/>
              </font>
              <fill>
                <patternFill>
                  <bgColor theme="0" tint="-0.14996795556505021"/>
                </patternFill>
              </fill>
              <border>
                <left/>
                <right/>
                <top/>
                <bottom/>
                <vertical/>
                <horizontal/>
              </border>
            </x14:dxf>
          </x14:cfRule>
          <xm:sqref>C166:L185</xm:sqref>
        </x14:conditionalFormatting>
        <x14:conditionalFormatting xmlns:xm="http://schemas.microsoft.com/office/excel/2006/main">
          <x14:cfRule type="expression" priority="38" id="{0B9E10DB-936D-42EB-8511-A53ADDDD96F8}">
            <xm:f>OR('7. ILCs - Design '!$H$139="No",ISBLANK('7. ILCs - Design '!$H$139))</xm:f>
            <x14:dxf>
              <font>
                <color theme="0" tint="-0.14996795556505021"/>
              </font>
              <fill>
                <patternFill>
                  <bgColor theme="0" tint="-0.14996795556505021"/>
                </patternFill>
              </fill>
              <border>
                <left/>
                <right/>
                <top/>
                <bottom/>
                <vertical/>
                <horizontal/>
              </border>
            </x14:dxf>
          </x14:cfRule>
          <xm:sqref>C187:L205</xm:sqref>
        </x14:conditionalFormatting>
        <x14:conditionalFormatting xmlns:xm="http://schemas.microsoft.com/office/excel/2006/main">
          <x14:cfRule type="expression" priority="95" id="{D982C87C-D84B-4096-B013-738FE0C41EBF}">
            <xm:f>OR('7. ILCs - Design '!$I$263="No",ISBLANK('7. ILCs - Design '!$I$263))</xm:f>
            <x14:dxf>
              <font>
                <strike val="0"/>
                <color theme="0" tint="-0.14996795556505021"/>
              </font>
              <fill>
                <patternFill>
                  <bgColor theme="0" tint="-0.14996795556505021"/>
                </patternFill>
              </fill>
              <border>
                <left/>
                <right/>
                <top/>
                <bottom/>
              </border>
            </x14:dxf>
          </x14:cfRule>
          <xm:sqref>C211:L226</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3CE4770A-8AF7-4385-A342-3F45B0246088}">
          <x14:formula1>
            <xm:f>'Backend (to be hidden)'!$DP$4:$DP$5</xm:f>
          </x14:formula1>
          <xm:sqref>I158:I160 I199:I201</xm:sqref>
        </x14:dataValidation>
        <x14:dataValidation type="list" allowBlank="1" showInputMessage="1" showErrorMessage="1" xr:uid="{4E2DA085-B64D-487C-A23D-29B2F25199E4}">
          <x14:formula1>
            <xm:f>'Backend (to be hidden)'!$DP$2:$DP$8</xm:f>
          </x14:formula1>
          <xm:sqref>I100:I104</xm:sqref>
        </x14:dataValidation>
        <x14:dataValidation type="list" allowBlank="1" showInputMessage="1" showErrorMessage="1" xr:uid="{1E6D2F6C-CBC4-45A7-ADF8-8E55C812C63E}">
          <x14:formula1>
            <xm:f>'Backend (to be hidden)'!$EE$2:$EE$8</xm:f>
          </x14:formula1>
          <xm:sqref>G178:G181 G150:G153</xm:sqref>
        </x14:dataValidation>
        <x14:dataValidation type="list" allowBlank="1" showInputMessage="1" showErrorMessage="1" xr:uid="{FD3E34B7-B0BA-4A00-859C-FB8CE0F0DECD}">
          <x14:formula1>
            <xm:f>'Backend (to be hidden)'!$DD$2</xm:f>
          </x14:formula1>
          <xm:sqref>C119:C122 C215:C226 C66:C69</xm:sqref>
        </x14:dataValidation>
        <x14:dataValidation type="list" allowBlank="1" showInputMessage="1" showErrorMessage="1" xr:uid="{E5C47778-50ED-4698-B35A-B7E561D1E401}">
          <x14:formula1>
            <xm:f>'7. ILCs - Design '!$C$115:$C$119</xm:f>
          </x14:formula1>
          <xm:sqref>H100:H104</xm:sqref>
        </x14:dataValidation>
        <x14:dataValidation type="list" allowBlank="1" showInputMessage="1" showErrorMessage="1" xr:uid="{80A2EBA7-360B-496C-ABDF-5825C084DEDB}">
          <x14:formula1>
            <xm:f>'Backend (to be hidden)'!$EQ$2:$EQ$3</xm:f>
          </x14:formula1>
          <xm:sqref>J63 J116</xm:sqref>
        </x14:dataValidation>
        <x14:dataValidation type="list" allowBlank="1" showInputMessage="1" showErrorMessage="1" xr:uid="{F2790076-0963-4A24-A28D-5836CF87C184}">
          <x14:formula1>
            <xm:f>'Backend (to be hidden)'!$DI$2:$DI$13</xm:f>
          </x14:formula1>
          <xm:sqref>F40:F43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85D66-9B0A-4BA8-8D9B-8B219B3CBDCC}">
  <sheetPr>
    <tabColor theme="7" tint="0.39997558519241921"/>
  </sheetPr>
  <dimension ref="A1:N70"/>
  <sheetViews>
    <sheetView workbookViewId="0">
      <selection activeCell="F3" sqref="F3"/>
    </sheetView>
  </sheetViews>
  <sheetFormatPr defaultColWidth="0" defaultRowHeight="15" customHeight="1" zeroHeight="1"/>
  <cols>
    <col min="1" max="2" width="0.7109375" customWidth="1"/>
    <col min="3" max="3" width="14.7109375" customWidth="1"/>
    <col min="4" max="4" width="24" customWidth="1"/>
    <col min="5" max="5" width="2.42578125" customWidth="1"/>
    <col min="6" max="6" width="45.5703125" customWidth="1"/>
    <col min="7" max="7" width="1.7109375" customWidth="1"/>
    <col min="8" max="8" width="20.7109375" style="17" customWidth="1"/>
    <col min="9" max="14" width="0" style="6" hidden="1" customWidth="1"/>
    <col min="15" max="16384" width="10.7109375" style="6" hidden="1"/>
  </cols>
  <sheetData>
    <row r="1" spans="1:14" customFormat="1" ht="5.0999999999999996" customHeight="1" thickBot="1">
      <c r="B1" s="700"/>
      <c r="H1" s="17"/>
    </row>
    <row r="2" spans="1:14" s="5" customFormat="1" ht="30.75" customHeight="1">
      <c r="A2" s="700"/>
      <c r="B2" s="707"/>
      <c r="C2" s="1020" t="s">
        <v>218</v>
      </c>
      <c r="D2" s="1020"/>
      <c r="E2" s="1020"/>
      <c r="F2" s="1020"/>
      <c r="G2" s="1021"/>
      <c r="H2" s="19"/>
      <c r="I2" s="4"/>
      <c r="J2" s="4"/>
      <c r="K2" s="4"/>
      <c r="L2" s="4"/>
      <c r="M2" s="4"/>
      <c r="N2" s="4"/>
    </row>
    <row r="3" spans="1:14" s="5" customFormat="1" ht="28.5" customHeight="1">
      <c r="A3" s="700"/>
      <c r="B3" s="708"/>
      <c r="C3" s="709"/>
      <c r="D3" s="709"/>
      <c r="E3" s="709"/>
      <c r="F3" s="710" t="s">
        <v>1610</v>
      </c>
      <c r="G3" s="711"/>
      <c r="H3" s="17"/>
      <c r="I3" s="4"/>
      <c r="J3" s="4"/>
      <c r="K3" s="4"/>
      <c r="L3" s="4"/>
      <c r="M3" s="4"/>
      <c r="N3" s="4"/>
    </row>
    <row r="4" spans="1:14" s="5" customFormat="1" ht="20.100000000000001" customHeight="1">
      <c r="A4" s="700"/>
      <c r="B4" s="712"/>
      <c r="C4" s="1022" t="s">
        <v>107</v>
      </c>
      <c r="D4" s="1022"/>
      <c r="E4" s="1022"/>
      <c r="F4" s="1022"/>
      <c r="G4" s="713"/>
      <c r="H4" s="17"/>
      <c r="I4" s="4"/>
      <c r="J4" s="4"/>
      <c r="K4" s="4"/>
      <c r="L4" s="4"/>
      <c r="M4" s="4"/>
      <c r="N4" s="4"/>
    </row>
    <row r="5" spans="1:14" ht="6" customHeight="1" thickBot="1">
      <c r="A5" s="700"/>
      <c r="B5" s="714"/>
      <c r="C5" s="715"/>
      <c r="D5" s="716"/>
      <c r="E5" s="716"/>
      <c r="F5" s="716"/>
      <c r="G5" s="717"/>
    </row>
    <row r="6" spans="1:14" s="5" customFormat="1">
      <c r="A6" s="700"/>
      <c r="B6" s="718"/>
      <c r="C6" s="1023" t="s">
        <v>1397</v>
      </c>
      <c r="D6" s="1023"/>
      <c r="E6" s="1023"/>
      <c r="F6" s="1023"/>
      <c r="G6" s="1024"/>
      <c r="H6" s="17"/>
      <c r="I6" s="7"/>
      <c r="J6" s="7"/>
      <c r="K6" s="7"/>
      <c r="L6" s="7"/>
      <c r="M6" s="7"/>
      <c r="N6" s="7"/>
    </row>
    <row r="7" spans="1:14" ht="6" customHeight="1">
      <c r="A7" s="700"/>
      <c r="B7" s="719"/>
      <c r="C7" s="720"/>
      <c r="D7" s="720"/>
      <c r="E7" s="720"/>
      <c r="F7" s="720"/>
      <c r="G7" s="721"/>
    </row>
    <row r="8" spans="1:14" s="5" customFormat="1">
      <c r="A8" s="700"/>
      <c r="B8" s="714"/>
      <c r="C8" s="722" t="s">
        <v>108</v>
      </c>
      <c r="D8" s="723" t="s">
        <v>109</v>
      </c>
      <c r="E8" s="1025" t="s">
        <v>110</v>
      </c>
      <c r="F8" s="1026"/>
      <c r="G8" s="724"/>
      <c r="H8" s="19"/>
      <c r="I8" s="7"/>
      <c r="J8" s="7"/>
      <c r="K8" s="7"/>
      <c r="L8" s="7"/>
      <c r="M8" s="7"/>
      <c r="N8" s="7"/>
    </row>
    <row r="9" spans="1:14" s="5" customFormat="1">
      <c r="A9" s="700"/>
      <c r="B9" s="714"/>
      <c r="C9" s="1015" t="s">
        <v>111</v>
      </c>
      <c r="D9" s="1016"/>
      <c r="E9" s="1016"/>
      <c r="F9" s="1017"/>
      <c r="G9" s="724"/>
      <c r="H9" s="17"/>
      <c r="I9" s="7"/>
      <c r="J9" s="7"/>
      <c r="K9" s="7"/>
      <c r="L9" s="7"/>
      <c r="M9" s="7"/>
      <c r="N9" s="7"/>
    </row>
    <row r="10" spans="1:14" s="5" customFormat="1" ht="45" customHeight="1">
      <c r="A10" s="700"/>
      <c r="B10" s="714"/>
      <c r="C10" s="1002" t="s">
        <v>34</v>
      </c>
      <c r="D10" s="725" t="s">
        <v>112</v>
      </c>
      <c r="E10" s="1018" t="s">
        <v>113</v>
      </c>
      <c r="F10" s="1019"/>
      <c r="G10" s="724"/>
      <c r="H10" s="17"/>
      <c r="I10" s="7"/>
      <c r="J10" s="7"/>
      <c r="K10" s="7"/>
      <c r="L10" s="7"/>
      <c r="M10" s="7"/>
      <c r="N10" s="7"/>
    </row>
    <row r="11" spans="1:14" s="5" customFormat="1" ht="98.25" customHeight="1">
      <c r="A11" s="700"/>
      <c r="B11" s="714"/>
      <c r="C11" s="1002"/>
      <c r="D11" s="726" t="s">
        <v>114</v>
      </c>
      <c r="E11" s="1011" t="s">
        <v>115</v>
      </c>
      <c r="F11" s="1007"/>
      <c r="G11" s="724"/>
      <c r="H11" s="17"/>
      <c r="I11" s="7"/>
      <c r="J11" s="7"/>
      <c r="K11" s="7"/>
      <c r="L11" s="7"/>
      <c r="M11" s="7"/>
      <c r="N11" s="7"/>
    </row>
    <row r="12" spans="1:14" s="5" customFormat="1" ht="45" customHeight="1">
      <c r="A12" s="700"/>
      <c r="B12" s="714"/>
      <c r="C12" s="1002"/>
      <c r="D12" s="726" t="s">
        <v>116</v>
      </c>
      <c r="E12" s="1011" t="s">
        <v>117</v>
      </c>
      <c r="F12" s="1007"/>
      <c r="G12" s="724"/>
      <c r="H12" s="17"/>
      <c r="I12" s="7"/>
      <c r="J12" s="7"/>
      <c r="K12" s="7"/>
      <c r="L12" s="7"/>
      <c r="M12" s="7"/>
      <c r="N12" s="7"/>
    </row>
    <row r="13" spans="1:14" s="5" customFormat="1" ht="77.25" customHeight="1">
      <c r="A13" s="700"/>
      <c r="B13" s="714"/>
      <c r="C13" s="1002"/>
      <c r="D13" s="726" t="s">
        <v>118</v>
      </c>
      <c r="E13" s="1011" t="s">
        <v>119</v>
      </c>
      <c r="F13" s="1007"/>
      <c r="G13" s="724"/>
      <c r="H13" s="17"/>
      <c r="I13" s="7"/>
      <c r="J13" s="7"/>
      <c r="K13" s="7"/>
      <c r="L13" s="7"/>
      <c r="M13" s="7"/>
      <c r="N13" s="7"/>
    </row>
    <row r="14" spans="1:14" s="5" customFormat="1" ht="90" customHeight="1">
      <c r="A14" s="700"/>
      <c r="B14" s="714"/>
      <c r="C14" s="1002"/>
      <c r="D14" s="726" t="s">
        <v>120</v>
      </c>
      <c r="E14" s="1011" t="s">
        <v>121</v>
      </c>
      <c r="F14" s="1007"/>
      <c r="G14" s="724"/>
      <c r="H14" s="17"/>
      <c r="I14" s="7"/>
      <c r="J14" s="7"/>
      <c r="K14" s="7"/>
      <c r="L14" s="7"/>
      <c r="M14" s="7"/>
      <c r="N14" s="7"/>
    </row>
    <row r="15" spans="1:14" s="5" customFormat="1" ht="45" customHeight="1">
      <c r="A15" s="700"/>
      <c r="B15" s="714"/>
      <c r="C15" s="1002"/>
      <c r="D15" s="727" t="s">
        <v>122</v>
      </c>
      <c r="E15" s="1013" t="s">
        <v>1381</v>
      </c>
      <c r="F15" s="1014"/>
      <c r="G15" s="724"/>
      <c r="H15" s="209"/>
      <c r="I15" s="7"/>
      <c r="J15" s="7"/>
      <c r="K15" s="7"/>
      <c r="L15" s="7"/>
      <c r="M15" s="7"/>
      <c r="N15" s="7"/>
    </row>
    <row r="16" spans="1:14" s="5" customFormat="1">
      <c r="A16" s="700"/>
      <c r="B16" s="714"/>
      <c r="C16" s="1015" t="s">
        <v>50</v>
      </c>
      <c r="D16" s="1016"/>
      <c r="E16" s="1016"/>
      <c r="F16" s="1017"/>
      <c r="G16" s="724"/>
      <c r="H16" s="17"/>
      <c r="I16" s="7"/>
      <c r="J16" s="7"/>
      <c r="K16" s="7"/>
      <c r="L16" s="7"/>
      <c r="M16" s="7"/>
      <c r="N16" s="7"/>
    </row>
    <row r="17" spans="1:14" s="5" customFormat="1" ht="30" customHeight="1">
      <c r="A17" s="700"/>
      <c r="B17" s="714"/>
      <c r="C17" s="1002" t="s">
        <v>54</v>
      </c>
      <c r="D17" s="725" t="s">
        <v>123</v>
      </c>
      <c r="E17" s="1018" t="s">
        <v>124</v>
      </c>
      <c r="F17" s="1019"/>
      <c r="G17" s="724"/>
      <c r="H17" s="17"/>
      <c r="I17" s="7"/>
      <c r="J17" s="7"/>
      <c r="K17" s="7"/>
      <c r="L17" s="7"/>
      <c r="M17" s="7"/>
      <c r="N17" s="7"/>
    </row>
    <row r="18" spans="1:14" s="5" customFormat="1" ht="30" customHeight="1">
      <c r="A18" s="700"/>
      <c r="B18" s="714"/>
      <c r="C18" s="1002"/>
      <c r="D18" s="726" t="s">
        <v>125</v>
      </c>
      <c r="E18" s="1011" t="s">
        <v>126</v>
      </c>
      <c r="F18" s="1007"/>
      <c r="G18" s="724"/>
      <c r="H18" s="17"/>
      <c r="I18" s="7"/>
      <c r="J18" s="7"/>
      <c r="K18" s="7"/>
      <c r="L18" s="7"/>
      <c r="M18" s="7"/>
      <c r="N18" s="7"/>
    </row>
    <row r="19" spans="1:14" s="5" customFormat="1" ht="30" customHeight="1">
      <c r="A19" s="700"/>
      <c r="B19" s="714"/>
      <c r="C19" s="1002"/>
      <c r="D19" s="726" t="s">
        <v>127</v>
      </c>
      <c r="E19" s="1011" t="s">
        <v>128</v>
      </c>
      <c r="F19" s="1007"/>
      <c r="G19" s="724"/>
      <c r="H19" s="17"/>
      <c r="I19" s="7"/>
      <c r="J19" s="7"/>
      <c r="K19" s="7"/>
      <c r="L19" s="7"/>
      <c r="M19" s="7"/>
      <c r="N19" s="7"/>
    </row>
    <row r="20" spans="1:14" s="5" customFormat="1" ht="38.25" customHeight="1">
      <c r="A20" s="700"/>
      <c r="B20" s="714"/>
      <c r="C20" s="1002"/>
      <c r="D20" s="726" t="s">
        <v>129</v>
      </c>
      <c r="E20" s="1011" t="s">
        <v>130</v>
      </c>
      <c r="F20" s="1007"/>
      <c r="G20" s="724"/>
      <c r="H20" s="17"/>
      <c r="I20" s="7"/>
      <c r="J20" s="7"/>
      <c r="K20" s="7"/>
      <c r="L20" s="7"/>
      <c r="M20" s="7"/>
      <c r="N20" s="7"/>
    </row>
    <row r="21" spans="1:14" s="5" customFormat="1" ht="30" customHeight="1">
      <c r="A21" s="700"/>
      <c r="B21" s="714"/>
      <c r="C21" s="1002"/>
      <c r="D21" s="726" t="s">
        <v>131</v>
      </c>
      <c r="E21" s="1011" t="s">
        <v>132</v>
      </c>
      <c r="F21" s="1007"/>
      <c r="G21" s="724"/>
      <c r="H21" s="17"/>
      <c r="I21" s="7"/>
      <c r="J21" s="7"/>
      <c r="K21" s="7"/>
      <c r="L21" s="7"/>
      <c r="M21" s="7"/>
      <c r="N21" s="7"/>
    </row>
    <row r="22" spans="1:14" s="5" customFormat="1" ht="36" customHeight="1">
      <c r="A22" s="700"/>
      <c r="B22" s="714"/>
      <c r="C22" s="1002"/>
      <c r="D22" s="726" t="s">
        <v>133</v>
      </c>
      <c r="E22" s="1011" t="s">
        <v>134</v>
      </c>
      <c r="F22" s="1007"/>
      <c r="G22" s="724"/>
      <c r="H22" s="17"/>
      <c r="I22" s="7"/>
      <c r="J22" s="7"/>
      <c r="K22" s="7"/>
      <c r="L22" s="7"/>
      <c r="M22" s="7"/>
      <c r="N22" s="7"/>
    </row>
    <row r="23" spans="1:14" s="5" customFormat="1" ht="39" customHeight="1">
      <c r="A23" s="700"/>
      <c r="B23" s="714"/>
      <c r="C23" s="1002"/>
      <c r="D23" s="726" t="s">
        <v>135</v>
      </c>
      <c r="E23" s="1011" t="s">
        <v>136</v>
      </c>
      <c r="F23" s="1007"/>
      <c r="G23" s="724"/>
      <c r="H23" s="17"/>
      <c r="I23" s="7"/>
      <c r="J23" s="7"/>
      <c r="K23" s="7"/>
      <c r="L23" s="7"/>
      <c r="M23" s="7"/>
      <c r="N23" s="7"/>
    </row>
    <row r="24" spans="1:14" s="5" customFormat="1" ht="30" customHeight="1">
      <c r="A24" s="700"/>
      <c r="B24" s="714"/>
      <c r="C24" s="1002"/>
      <c r="D24" s="726" t="s">
        <v>137</v>
      </c>
      <c r="E24" s="1011" t="s">
        <v>138</v>
      </c>
      <c r="F24" s="1007"/>
      <c r="G24" s="724"/>
      <c r="H24" s="17"/>
      <c r="I24" s="7"/>
      <c r="J24" s="7"/>
      <c r="K24" s="7"/>
      <c r="L24" s="7"/>
      <c r="M24" s="7"/>
      <c r="N24" s="7"/>
    </row>
    <row r="25" spans="1:14" s="5" customFormat="1" ht="30" customHeight="1">
      <c r="A25" s="700"/>
      <c r="B25" s="714"/>
      <c r="C25" s="1002"/>
      <c r="D25" s="726" t="s">
        <v>139</v>
      </c>
      <c r="E25" s="1011" t="s">
        <v>140</v>
      </c>
      <c r="F25" s="1007"/>
      <c r="G25" s="724"/>
      <c r="H25" s="17"/>
      <c r="I25" s="7"/>
      <c r="J25" s="7"/>
      <c r="K25" s="7"/>
      <c r="L25" s="7"/>
      <c r="M25" s="7"/>
      <c r="N25" s="7"/>
    </row>
    <row r="26" spans="1:14" s="5" customFormat="1" ht="41.25" customHeight="1">
      <c r="A26" s="700"/>
      <c r="B26" s="714"/>
      <c r="C26" s="1002"/>
      <c r="D26" s="726" t="s">
        <v>141</v>
      </c>
      <c r="E26" s="1011" t="s">
        <v>142</v>
      </c>
      <c r="F26" s="1007"/>
      <c r="G26" s="724"/>
      <c r="H26" s="17"/>
      <c r="I26" s="7"/>
      <c r="J26" s="7"/>
      <c r="K26" s="7"/>
      <c r="L26" s="7"/>
      <c r="M26" s="7"/>
      <c r="N26" s="7"/>
    </row>
    <row r="27" spans="1:14" s="5" customFormat="1" ht="24">
      <c r="A27" s="700"/>
      <c r="B27" s="714"/>
      <c r="C27" s="1002"/>
      <c r="D27" s="727" t="s">
        <v>143</v>
      </c>
      <c r="E27" s="1013" t="s">
        <v>144</v>
      </c>
      <c r="F27" s="1014"/>
      <c r="G27" s="724"/>
      <c r="H27" s="17"/>
      <c r="I27" s="7"/>
      <c r="J27" s="7"/>
      <c r="K27" s="7"/>
      <c r="L27" s="7"/>
      <c r="M27" s="7"/>
      <c r="N27" s="7"/>
    </row>
    <row r="28" spans="1:14" s="5" customFormat="1" ht="15" customHeight="1">
      <c r="A28" s="700"/>
      <c r="B28" s="714"/>
      <c r="C28" s="1001" t="s">
        <v>55</v>
      </c>
      <c r="D28" s="728" t="s">
        <v>145</v>
      </c>
      <c r="E28" s="1010" t="s">
        <v>146</v>
      </c>
      <c r="F28" s="1005"/>
      <c r="G28" s="724"/>
      <c r="H28" s="17"/>
      <c r="I28" s="7"/>
      <c r="J28" s="7"/>
      <c r="K28" s="7"/>
      <c r="L28" s="7"/>
      <c r="M28" s="7"/>
      <c r="N28" s="7"/>
    </row>
    <row r="29" spans="1:14" s="5" customFormat="1" ht="15" customHeight="1">
      <c r="A29" s="700"/>
      <c r="B29" s="714"/>
      <c r="C29" s="1002"/>
      <c r="D29" s="726" t="s">
        <v>127</v>
      </c>
      <c r="E29" s="1011" t="s">
        <v>147</v>
      </c>
      <c r="F29" s="1007"/>
      <c r="G29" s="724"/>
      <c r="H29" s="17"/>
      <c r="I29" s="7"/>
      <c r="J29" s="7"/>
      <c r="K29" s="7"/>
      <c r="L29" s="7"/>
      <c r="M29" s="7"/>
      <c r="N29" s="7"/>
    </row>
    <row r="30" spans="1:14" s="5" customFormat="1" ht="15" customHeight="1">
      <c r="A30" s="700"/>
      <c r="B30" s="714"/>
      <c r="C30" s="1002"/>
      <c r="D30" s="726" t="s">
        <v>129</v>
      </c>
      <c r="E30" s="1011" t="s">
        <v>148</v>
      </c>
      <c r="F30" s="1007"/>
      <c r="G30" s="724"/>
      <c r="H30" s="17"/>
      <c r="I30" s="7"/>
      <c r="J30" s="7"/>
      <c r="K30" s="7"/>
      <c r="L30" s="7"/>
      <c r="M30" s="7"/>
      <c r="N30" s="7"/>
    </row>
    <row r="31" spans="1:14" s="5" customFormat="1" ht="30" customHeight="1">
      <c r="A31" s="700"/>
      <c r="B31" s="714"/>
      <c r="C31" s="1002"/>
      <c r="D31" s="726" t="s">
        <v>149</v>
      </c>
      <c r="E31" s="1011" t="s">
        <v>150</v>
      </c>
      <c r="F31" s="1007"/>
      <c r="G31" s="724"/>
      <c r="H31" s="17"/>
      <c r="I31" s="7"/>
      <c r="J31" s="7"/>
      <c r="K31" s="7"/>
      <c r="L31" s="7"/>
      <c r="M31" s="7"/>
      <c r="N31" s="7"/>
    </row>
    <row r="32" spans="1:14" s="5" customFormat="1" ht="24.75" customHeight="1">
      <c r="A32" s="700"/>
      <c r="B32" s="714"/>
      <c r="C32" s="1002"/>
      <c r="D32" s="726" t="s">
        <v>151</v>
      </c>
      <c r="E32" s="1011" t="s">
        <v>152</v>
      </c>
      <c r="F32" s="1007"/>
      <c r="G32" s="724"/>
      <c r="H32" s="17"/>
      <c r="I32" s="7"/>
      <c r="J32" s="7"/>
      <c r="K32" s="7"/>
      <c r="L32" s="7"/>
      <c r="M32" s="7"/>
      <c r="N32" s="7"/>
    </row>
    <row r="33" spans="1:14" s="5" customFormat="1" ht="15" customHeight="1">
      <c r="A33" s="700"/>
      <c r="B33" s="714"/>
      <c r="C33" s="1002"/>
      <c r="D33" s="726" t="s">
        <v>135</v>
      </c>
      <c r="E33" s="1011" t="s">
        <v>153</v>
      </c>
      <c r="F33" s="1007"/>
      <c r="G33" s="724"/>
      <c r="H33" s="17"/>
      <c r="I33" s="7"/>
      <c r="J33" s="7"/>
      <c r="K33" s="7"/>
      <c r="L33" s="7"/>
      <c r="M33" s="7"/>
      <c r="N33" s="7"/>
    </row>
    <row r="34" spans="1:14" s="5" customFormat="1" ht="15" customHeight="1">
      <c r="A34" s="700"/>
      <c r="B34" s="714"/>
      <c r="C34" s="1002"/>
      <c r="D34" s="726" t="s">
        <v>154</v>
      </c>
      <c r="E34" s="1011" t="s">
        <v>155</v>
      </c>
      <c r="F34" s="1007"/>
      <c r="G34" s="724"/>
      <c r="H34" s="17"/>
      <c r="I34" s="7"/>
      <c r="J34" s="7"/>
      <c r="K34" s="7"/>
      <c r="L34" s="7"/>
      <c r="M34" s="7"/>
      <c r="N34" s="7"/>
    </row>
    <row r="35" spans="1:14" s="5" customFormat="1" ht="15" customHeight="1">
      <c r="A35" s="700"/>
      <c r="B35" s="714"/>
      <c r="C35" s="1002"/>
      <c r="D35" s="726" t="s">
        <v>156</v>
      </c>
      <c r="E35" s="1011" t="s">
        <v>157</v>
      </c>
      <c r="F35" s="1007"/>
      <c r="G35" s="724"/>
      <c r="H35" s="17"/>
      <c r="I35" s="7"/>
      <c r="J35" s="7"/>
      <c r="K35" s="7"/>
      <c r="L35" s="7"/>
      <c r="M35" s="7"/>
      <c r="N35" s="7"/>
    </row>
    <row r="36" spans="1:14" s="5" customFormat="1" ht="15" customHeight="1">
      <c r="A36" s="700"/>
      <c r="B36" s="714"/>
      <c r="C36" s="1002"/>
      <c r="D36" s="726" t="s">
        <v>141</v>
      </c>
      <c r="E36" s="1011" t="s">
        <v>158</v>
      </c>
      <c r="F36" s="1007"/>
      <c r="G36" s="724"/>
      <c r="H36" s="17"/>
      <c r="I36" s="7"/>
      <c r="J36" s="7"/>
      <c r="K36" s="7"/>
      <c r="L36" s="7"/>
      <c r="M36" s="7"/>
      <c r="N36" s="7"/>
    </row>
    <row r="37" spans="1:14" s="5" customFormat="1" ht="15" customHeight="1">
      <c r="A37" s="700"/>
      <c r="B37" s="714"/>
      <c r="C37" s="1002"/>
      <c r="D37" s="726" t="s">
        <v>159</v>
      </c>
      <c r="E37" s="1011" t="s">
        <v>160</v>
      </c>
      <c r="F37" s="1007"/>
      <c r="G37" s="724"/>
      <c r="H37" s="17"/>
      <c r="I37" s="7"/>
      <c r="J37" s="7"/>
      <c r="K37" s="7"/>
      <c r="L37" s="7"/>
      <c r="M37" s="7"/>
      <c r="N37" s="7"/>
    </row>
    <row r="38" spans="1:14" s="5" customFormat="1" ht="25.5" customHeight="1">
      <c r="A38" s="700"/>
      <c r="B38" s="714"/>
      <c r="C38" s="1003"/>
      <c r="D38" s="729" t="s">
        <v>161</v>
      </c>
      <c r="E38" s="1012" t="s">
        <v>162</v>
      </c>
      <c r="F38" s="1009"/>
      <c r="G38" s="724"/>
      <c r="H38" s="17"/>
      <c r="I38" s="7"/>
      <c r="J38" s="7"/>
      <c r="K38" s="7"/>
      <c r="L38" s="7"/>
      <c r="M38" s="7"/>
      <c r="N38" s="7"/>
    </row>
    <row r="39" spans="1:14" s="5" customFormat="1" ht="15" customHeight="1">
      <c r="A39" s="700"/>
      <c r="B39" s="714"/>
      <c r="C39" s="1001" t="s">
        <v>56</v>
      </c>
      <c r="D39" s="728" t="s">
        <v>163</v>
      </c>
      <c r="E39" s="1010" t="s">
        <v>164</v>
      </c>
      <c r="F39" s="1005"/>
      <c r="G39" s="724"/>
      <c r="H39" s="17"/>
      <c r="I39" s="7"/>
      <c r="J39" s="7"/>
      <c r="K39" s="7"/>
      <c r="L39" s="7"/>
      <c r="M39" s="7"/>
      <c r="N39" s="7"/>
    </row>
    <row r="40" spans="1:14" s="5" customFormat="1" ht="15" customHeight="1">
      <c r="A40" s="700"/>
      <c r="B40" s="714"/>
      <c r="C40" s="1002"/>
      <c r="D40" s="726" t="s">
        <v>165</v>
      </c>
      <c r="E40" s="1011" t="s">
        <v>166</v>
      </c>
      <c r="F40" s="1007"/>
      <c r="G40" s="724"/>
      <c r="H40" s="17"/>
      <c r="I40" s="7"/>
      <c r="J40" s="7"/>
      <c r="K40" s="7"/>
      <c r="L40" s="7"/>
      <c r="M40" s="7"/>
      <c r="N40" s="7"/>
    </row>
    <row r="41" spans="1:14" s="5" customFormat="1" ht="30" customHeight="1">
      <c r="A41" s="700"/>
      <c r="B41" s="714"/>
      <c r="C41" s="1002"/>
      <c r="D41" s="726" t="s">
        <v>129</v>
      </c>
      <c r="E41" s="1011" t="s">
        <v>1311</v>
      </c>
      <c r="F41" s="1007"/>
      <c r="G41" s="724"/>
      <c r="H41" s="209"/>
      <c r="I41" s="7"/>
      <c r="J41" s="7"/>
      <c r="K41" s="7"/>
      <c r="L41" s="7"/>
      <c r="M41" s="7"/>
      <c r="N41" s="7"/>
    </row>
    <row r="42" spans="1:14" s="5" customFormat="1" ht="15" customHeight="1">
      <c r="A42" s="700"/>
      <c r="B42" s="714"/>
      <c r="C42" s="1002"/>
      <c r="D42" s="726" t="s">
        <v>167</v>
      </c>
      <c r="E42" s="1011" t="s">
        <v>168</v>
      </c>
      <c r="F42" s="1007"/>
      <c r="G42" s="724"/>
      <c r="H42" s="17"/>
      <c r="I42" s="7"/>
      <c r="J42" s="7"/>
      <c r="K42" s="7"/>
      <c r="L42" s="7"/>
      <c r="M42" s="7"/>
      <c r="N42" s="7"/>
    </row>
    <row r="43" spans="1:14" s="5" customFormat="1" ht="15" customHeight="1">
      <c r="A43" s="700"/>
      <c r="B43" s="714"/>
      <c r="C43" s="1002"/>
      <c r="D43" s="726" t="s">
        <v>169</v>
      </c>
      <c r="E43" s="1011" t="s">
        <v>170</v>
      </c>
      <c r="F43" s="1007"/>
      <c r="G43" s="724"/>
      <c r="H43" s="17"/>
      <c r="I43" s="7"/>
      <c r="J43" s="7"/>
      <c r="K43" s="7"/>
      <c r="L43" s="7"/>
      <c r="M43" s="7"/>
      <c r="N43" s="7"/>
    </row>
    <row r="44" spans="1:14" s="5" customFormat="1" ht="47.25" customHeight="1">
      <c r="A44" s="700"/>
      <c r="B44" s="714"/>
      <c r="C44" s="1002"/>
      <c r="D44" s="726" t="s">
        <v>135</v>
      </c>
      <c r="E44" s="1011" t="s">
        <v>171</v>
      </c>
      <c r="F44" s="1007"/>
      <c r="G44" s="724"/>
      <c r="H44" s="17"/>
      <c r="I44" s="7"/>
      <c r="J44" s="7"/>
      <c r="K44" s="7"/>
      <c r="L44" s="7"/>
      <c r="M44" s="7"/>
      <c r="N44" s="7"/>
    </row>
    <row r="45" spans="1:14" s="5" customFormat="1" ht="27" customHeight="1">
      <c r="A45" s="700"/>
      <c r="B45" s="714"/>
      <c r="C45" s="1002"/>
      <c r="D45" s="726" t="s">
        <v>172</v>
      </c>
      <c r="E45" s="1011" t="s">
        <v>173</v>
      </c>
      <c r="F45" s="1007"/>
      <c r="G45" s="724"/>
      <c r="H45" s="17"/>
      <c r="I45" s="7"/>
      <c r="J45" s="7"/>
      <c r="K45" s="7"/>
      <c r="L45" s="7"/>
      <c r="M45" s="7"/>
      <c r="N45" s="7"/>
    </row>
    <row r="46" spans="1:14" s="5" customFormat="1" ht="15" customHeight="1">
      <c r="A46" s="700"/>
      <c r="B46" s="714"/>
      <c r="C46" s="1002"/>
      <c r="D46" s="726" t="s">
        <v>174</v>
      </c>
      <c r="E46" s="1011" t="s">
        <v>175</v>
      </c>
      <c r="F46" s="1007"/>
      <c r="G46" s="724"/>
      <c r="H46" s="17"/>
      <c r="I46" s="7"/>
      <c r="J46" s="7"/>
      <c r="K46" s="7"/>
      <c r="L46" s="7"/>
      <c r="M46" s="7"/>
      <c r="N46" s="7"/>
    </row>
    <row r="47" spans="1:14" s="5" customFormat="1" ht="15" customHeight="1">
      <c r="A47" s="700"/>
      <c r="B47" s="714"/>
      <c r="C47" s="1002"/>
      <c r="D47" s="726" t="s">
        <v>176</v>
      </c>
      <c r="E47" s="1011" t="s">
        <v>177</v>
      </c>
      <c r="F47" s="1007"/>
      <c r="G47" s="724"/>
      <c r="H47" s="17"/>
      <c r="I47" s="7"/>
      <c r="J47" s="7"/>
      <c r="K47" s="7"/>
      <c r="L47" s="7"/>
      <c r="M47" s="7"/>
      <c r="N47" s="7"/>
    </row>
    <row r="48" spans="1:14" s="5" customFormat="1" ht="30" customHeight="1">
      <c r="A48" s="700"/>
      <c r="B48" s="714"/>
      <c r="C48" s="1002"/>
      <c r="D48" s="726" t="s">
        <v>141</v>
      </c>
      <c r="E48" s="1011" t="s">
        <v>178</v>
      </c>
      <c r="F48" s="1007"/>
      <c r="G48" s="724"/>
      <c r="H48" s="17"/>
      <c r="I48" s="7"/>
      <c r="J48" s="7"/>
      <c r="K48" s="7"/>
      <c r="L48" s="7"/>
      <c r="M48" s="7"/>
      <c r="N48" s="7"/>
    </row>
    <row r="49" spans="1:14" s="5" customFormat="1" ht="30" customHeight="1">
      <c r="A49" s="700"/>
      <c r="B49" s="714"/>
      <c r="C49" s="1003"/>
      <c r="D49" s="729" t="s">
        <v>179</v>
      </c>
      <c r="E49" s="1012" t="s">
        <v>180</v>
      </c>
      <c r="F49" s="1009"/>
      <c r="G49" s="724"/>
      <c r="H49" s="17"/>
      <c r="I49" s="7"/>
      <c r="J49" s="7"/>
      <c r="K49" s="7"/>
      <c r="L49" s="7"/>
      <c r="M49" s="7"/>
      <c r="N49" s="7"/>
    </row>
    <row r="50" spans="1:14" s="5" customFormat="1" ht="30" customHeight="1">
      <c r="A50" s="700"/>
      <c r="B50" s="714"/>
      <c r="C50" s="1001" t="s">
        <v>56</v>
      </c>
      <c r="D50" s="728" t="s">
        <v>181</v>
      </c>
      <c r="E50" s="1010" t="s">
        <v>1312</v>
      </c>
      <c r="F50" s="1005"/>
      <c r="G50" s="724"/>
      <c r="H50" s="17"/>
      <c r="I50" s="7"/>
      <c r="J50" s="7"/>
      <c r="K50" s="7"/>
      <c r="L50" s="7"/>
      <c r="M50" s="7"/>
      <c r="N50" s="7"/>
    </row>
    <row r="51" spans="1:14" s="5" customFormat="1" ht="30" customHeight="1">
      <c r="A51" s="700"/>
      <c r="B51" s="714"/>
      <c r="C51" s="1002"/>
      <c r="D51" s="726" t="s">
        <v>182</v>
      </c>
      <c r="E51" s="1011" t="s">
        <v>183</v>
      </c>
      <c r="F51" s="1007"/>
      <c r="G51" s="724"/>
      <c r="H51" s="17"/>
      <c r="I51" s="7"/>
      <c r="J51" s="7"/>
      <c r="K51" s="7"/>
      <c r="L51" s="7"/>
      <c r="M51" s="7"/>
      <c r="N51" s="7"/>
    </row>
    <row r="52" spans="1:14" s="5" customFormat="1" ht="30" customHeight="1">
      <c r="A52" s="700"/>
      <c r="B52" s="714"/>
      <c r="C52" s="1003"/>
      <c r="D52" s="729" t="s">
        <v>184</v>
      </c>
      <c r="E52" s="1012" t="s">
        <v>185</v>
      </c>
      <c r="F52" s="1009"/>
      <c r="G52" s="724"/>
      <c r="H52" s="17"/>
      <c r="I52" s="7"/>
      <c r="J52" s="7"/>
      <c r="K52" s="7"/>
      <c r="L52" s="7"/>
      <c r="M52" s="7"/>
      <c r="N52" s="7"/>
    </row>
    <row r="53" spans="1:14" s="5" customFormat="1" ht="25.5" customHeight="1">
      <c r="A53" s="700"/>
      <c r="B53" s="714"/>
      <c r="C53" s="730" t="s">
        <v>57</v>
      </c>
      <c r="D53" s="728" t="s">
        <v>57</v>
      </c>
      <c r="E53" s="1004" t="s">
        <v>1326</v>
      </c>
      <c r="F53" s="1005"/>
      <c r="G53" s="724"/>
      <c r="H53" s="209"/>
      <c r="I53" s="7"/>
      <c r="J53" s="7"/>
      <c r="K53" s="7"/>
      <c r="L53" s="7"/>
      <c r="M53" s="7"/>
      <c r="N53" s="7"/>
    </row>
    <row r="54" spans="1:14" s="5" customFormat="1" ht="25.5" customHeight="1">
      <c r="A54" s="700"/>
      <c r="B54" s="714"/>
      <c r="C54" s="1001" t="s">
        <v>58</v>
      </c>
      <c r="D54" s="728" t="s">
        <v>186</v>
      </c>
      <c r="E54" s="1004" t="s">
        <v>187</v>
      </c>
      <c r="F54" s="1005"/>
      <c r="G54" s="724"/>
      <c r="H54" s="17"/>
      <c r="I54" s="7"/>
      <c r="J54" s="7"/>
      <c r="K54" s="7"/>
      <c r="L54" s="7"/>
      <c r="M54" s="7"/>
      <c r="N54" s="7"/>
    </row>
    <row r="55" spans="1:14" s="5" customFormat="1" ht="30" customHeight="1">
      <c r="A55" s="700"/>
      <c r="B55" s="714"/>
      <c r="C55" s="1002"/>
      <c r="D55" s="725" t="s">
        <v>188</v>
      </c>
      <c r="E55" s="1006" t="s">
        <v>189</v>
      </c>
      <c r="F55" s="1007"/>
      <c r="G55" s="724"/>
      <c r="H55" s="17"/>
      <c r="I55" s="7"/>
      <c r="J55" s="7"/>
      <c r="K55" s="7"/>
      <c r="L55" s="7"/>
      <c r="M55" s="7"/>
      <c r="N55" s="7"/>
    </row>
    <row r="56" spans="1:14" s="5" customFormat="1" ht="30" customHeight="1">
      <c r="A56" s="700"/>
      <c r="B56" s="714"/>
      <c r="C56" s="1002"/>
      <c r="D56" s="726" t="s">
        <v>190</v>
      </c>
      <c r="E56" s="1006" t="s">
        <v>191</v>
      </c>
      <c r="F56" s="1007"/>
      <c r="G56" s="724"/>
      <c r="H56" s="17"/>
      <c r="I56" s="7"/>
      <c r="J56" s="7"/>
      <c r="K56" s="7"/>
      <c r="L56" s="7"/>
      <c r="M56" s="7"/>
      <c r="N56" s="7"/>
    </row>
    <row r="57" spans="1:14" s="5" customFormat="1" ht="15" customHeight="1">
      <c r="A57" s="700"/>
      <c r="B57" s="714"/>
      <c r="C57" s="1003"/>
      <c r="D57" s="729" t="s">
        <v>192</v>
      </c>
      <c r="E57" s="1008" t="s">
        <v>193</v>
      </c>
      <c r="F57" s="1009"/>
      <c r="G57" s="724"/>
      <c r="H57" s="17"/>
      <c r="I57" s="7"/>
      <c r="J57" s="7"/>
      <c r="K57" s="7"/>
      <c r="L57" s="7"/>
      <c r="M57" s="7"/>
      <c r="N57" s="7"/>
    </row>
    <row r="58" spans="1:14" s="5" customFormat="1" ht="45.75" customHeight="1">
      <c r="A58" s="700"/>
      <c r="B58" s="714"/>
      <c r="C58" s="1001" t="s">
        <v>59</v>
      </c>
      <c r="D58" s="728" t="s">
        <v>194</v>
      </c>
      <c r="E58" s="1004" t="s">
        <v>195</v>
      </c>
      <c r="F58" s="1005"/>
      <c r="G58" s="724"/>
      <c r="H58" s="19"/>
      <c r="I58" s="7"/>
      <c r="J58" s="7"/>
      <c r="K58" s="7"/>
      <c r="L58" s="7"/>
      <c r="M58" s="7"/>
      <c r="N58" s="7"/>
    </row>
    <row r="59" spans="1:14" s="5" customFormat="1" ht="45" customHeight="1">
      <c r="A59" s="700"/>
      <c r="B59" s="714"/>
      <c r="C59" s="1002"/>
      <c r="D59" s="725" t="s">
        <v>196</v>
      </c>
      <c r="E59" s="1006" t="s">
        <v>197</v>
      </c>
      <c r="F59" s="1007"/>
      <c r="G59" s="724"/>
      <c r="H59" s="17"/>
      <c r="I59" s="7"/>
      <c r="J59" s="7"/>
      <c r="K59" s="7"/>
      <c r="L59" s="7"/>
      <c r="M59" s="7"/>
      <c r="N59" s="7"/>
    </row>
    <row r="60" spans="1:14" s="5" customFormat="1" ht="42" customHeight="1">
      <c r="A60" s="700"/>
      <c r="B60" s="714"/>
      <c r="C60" s="1002"/>
      <c r="D60" s="725" t="s">
        <v>198</v>
      </c>
      <c r="E60" s="1006" t="s">
        <v>199</v>
      </c>
      <c r="F60" s="1007"/>
      <c r="G60" s="724"/>
      <c r="H60" s="17"/>
      <c r="I60" s="7"/>
      <c r="J60" s="7"/>
      <c r="K60" s="7"/>
      <c r="L60" s="7"/>
      <c r="M60" s="7"/>
      <c r="N60" s="7"/>
    </row>
    <row r="61" spans="1:14" s="5" customFormat="1" ht="30" customHeight="1">
      <c r="A61" s="700"/>
      <c r="B61" s="714"/>
      <c r="C61" s="1002"/>
      <c r="D61" s="725" t="s">
        <v>200</v>
      </c>
      <c r="E61" s="1006" t="s">
        <v>201</v>
      </c>
      <c r="F61" s="1007"/>
      <c r="G61" s="724"/>
      <c r="H61" s="17"/>
      <c r="I61" s="7"/>
      <c r="J61" s="7"/>
      <c r="K61" s="7"/>
      <c r="L61" s="7"/>
      <c r="M61" s="7"/>
      <c r="N61" s="7"/>
    </row>
    <row r="62" spans="1:14" s="5" customFormat="1" ht="45" customHeight="1">
      <c r="A62" s="700"/>
      <c r="B62" s="714"/>
      <c r="C62" s="1002"/>
      <c r="D62" s="726" t="s">
        <v>202</v>
      </c>
      <c r="E62" s="1006" t="s">
        <v>203</v>
      </c>
      <c r="F62" s="1007"/>
      <c r="G62" s="724"/>
      <c r="H62" s="17"/>
      <c r="I62" s="7"/>
      <c r="J62" s="7"/>
      <c r="K62" s="7"/>
      <c r="L62" s="7"/>
      <c r="M62" s="7"/>
      <c r="N62" s="7"/>
    </row>
    <row r="63" spans="1:14" s="5" customFormat="1" ht="77.25" customHeight="1">
      <c r="A63" s="700"/>
      <c r="B63" s="714"/>
      <c r="C63" s="1003"/>
      <c r="D63" s="729" t="s">
        <v>204</v>
      </c>
      <c r="E63" s="1008" t="s">
        <v>205</v>
      </c>
      <c r="F63" s="1009"/>
      <c r="G63" s="724"/>
      <c r="H63" s="17"/>
      <c r="I63" s="7"/>
      <c r="J63" s="7"/>
      <c r="K63" s="7"/>
      <c r="L63" s="7"/>
      <c r="M63" s="7"/>
      <c r="N63" s="7"/>
    </row>
    <row r="64" spans="1:14" s="5" customFormat="1" ht="30" customHeight="1">
      <c r="A64" s="700"/>
      <c r="B64" s="714"/>
      <c r="C64" s="1001" t="s">
        <v>61</v>
      </c>
      <c r="D64" s="728" t="s">
        <v>206</v>
      </c>
      <c r="E64" s="1004" t="s">
        <v>207</v>
      </c>
      <c r="F64" s="1005"/>
      <c r="G64" s="724"/>
      <c r="H64" s="17"/>
      <c r="I64" s="7"/>
      <c r="J64" s="7"/>
      <c r="K64" s="7"/>
      <c r="L64" s="7"/>
      <c r="M64" s="7"/>
      <c r="N64" s="7"/>
    </row>
    <row r="65" spans="1:14" s="5" customFormat="1" ht="30" customHeight="1">
      <c r="A65" s="700"/>
      <c r="B65" s="714"/>
      <c r="C65" s="1002"/>
      <c r="D65" s="725" t="s">
        <v>208</v>
      </c>
      <c r="E65" s="1006" t="s">
        <v>209</v>
      </c>
      <c r="F65" s="1007"/>
      <c r="G65" s="724"/>
      <c r="H65" s="17"/>
      <c r="I65" s="7"/>
      <c r="J65" s="7"/>
      <c r="K65" s="7"/>
      <c r="L65" s="7"/>
      <c r="M65" s="7"/>
      <c r="N65" s="7"/>
    </row>
    <row r="66" spans="1:14" s="5" customFormat="1" ht="30" customHeight="1">
      <c r="A66" s="700"/>
      <c r="B66" s="714"/>
      <c r="C66" s="1002"/>
      <c r="D66" s="725" t="s">
        <v>210</v>
      </c>
      <c r="E66" s="1006" t="s">
        <v>211</v>
      </c>
      <c r="F66" s="1007"/>
      <c r="G66" s="724"/>
      <c r="H66" s="17"/>
      <c r="I66" s="7"/>
      <c r="J66" s="7"/>
      <c r="K66" s="7"/>
      <c r="L66" s="7"/>
      <c r="M66" s="7"/>
      <c r="N66" s="7"/>
    </row>
    <row r="67" spans="1:14" s="5" customFormat="1" ht="30" customHeight="1">
      <c r="A67" s="700"/>
      <c r="B67" s="714"/>
      <c r="C67" s="1002"/>
      <c r="D67" s="725" t="s">
        <v>212</v>
      </c>
      <c r="E67" s="1006" t="s">
        <v>213</v>
      </c>
      <c r="F67" s="1007"/>
      <c r="G67" s="724"/>
      <c r="H67" s="17"/>
      <c r="I67" s="7"/>
      <c r="J67" s="7"/>
      <c r="K67" s="7"/>
      <c r="L67" s="7"/>
      <c r="M67" s="7"/>
      <c r="N67" s="7"/>
    </row>
    <row r="68" spans="1:14" s="5" customFormat="1" ht="30" customHeight="1">
      <c r="A68" s="700"/>
      <c r="B68" s="714"/>
      <c r="C68" s="1002"/>
      <c r="D68" s="726" t="s">
        <v>214</v>
      </c>
      <c r="E68" s="1006" t="s">
        <v>215</v>
      </c>
      <c r="F68" s="1007"/>
      <c r="G68" s="724"/>
      <c r="H68" s="17"/>
      <c r="I68" s="7"/>
      <c r="J68" s="7"/>
      <c r="K68" s="7"/>
      <c r="L68" s="7"/>
      <c r="M68" s="7"/>
      <c r="N68" s="7"/>
    </row>
    <row r="69" spans="1:14" s="5" customFormat="1" ht="59.25" customHeight="1">
      <c r="A69" s="700"/>
      <c r="B69" s="714"/>
      <c r="C69" s="1003"/>
      <c r="D69" s="729" t="s">
        <v>216</v>
      </c>
      <c r="E69" s="1008" t="s">
        <v>217</v>
      </c>
      <c r="F69" s="1009"/>
      <c r="G69" s="724"/>
      <c r="H69" s="17"/>
      <c r="I69" s="7"/>
      <c r="J69" s="7"/>
      <c r="K69" s="7"/>
      <c r="L69" s="7"/>
      <c r="M69" s="7"/>
      <c r="N69" s="7"/>
    </row>
    <row r="70" spans="1:14" ht="6" customHeight="1" thickBot="1">
      <c r="A70" s="700"/>
      <c r="B70" s="731"/>
      <c r="C70" s="715"/>
      <c r="D70" s="716"/>
      <c r="E70" s="716"/>
      <c r="F70" s="716"/>
      <c r="G70" s="717"/>
    </row>
  </sheetData>
  <sheetProtection algorithmName="SHA-512" hashValue="yYPLm1bja5vcylOgKY0VmwW7ZZkP7nvTnqKVQDd2flr7QbOkfw+Dez8pQDjGFWcGE5YdKqoLYOPdCbjRbEUgXA==" saltValue="L9gGfyepib+fI4Z0wT9yUQ==" spinCount="100000" sheet="1" formatRows="0"/>
  <mergeCells count="73">
    <mergeCell ref="E12:F12"/>
    <mergeCell ref="E13:F13"/>
    <mergeCell ref="C2:G2"/>
    <mergeCell ref="C4:F4"/>
    <mergeCell ref="C6:G6"/>
    <mergeCell ref="E8:F8"/>
    <mergeCell ref="C9:F9"/>
    <mergeCell ref="E34:F34"/>
    <mergeCell ref="E35:F35"/>
    <mergeCell ref="E36:F36"/>
    <mergeCell ref="E14:F14"/>
    <mergeCell ref="E15:F15"/>
    <mergeCell ref="C16:F16"/>
    <mergeCell ref="C17:C27"/>
    <mergeCell ref="E17:F17"/>
    <mergeCell ref="E18:F18"/>
    <mergeCell ref="E19:F19"/>
    <mergeCell ref="E20:F20"/>
    <mergeCell ref="E21:F21"/>
    <mergeCell ref="E22:F22"/>
    <mergeCell ref="C10:C15"/>
    <mergeCell ref="E10:F10"/>
    <mergeCell ref="E11:F11"/>
    <mergeCell ref="E29:F29"/>
    <mergeCell ref="E30:F30"/>
    <mergeCell ref="E31:F31"/>
    <mergeCell ref="E32:F32"/>
    <mergeCell ref="E33:F33"/>
    <mergeCell ref="E23:F23"/>
    <mergeCell ref="E24:F24"/>
    <mergeCell ref="E25:F25"/>
    <mergeCell ref="E26:F26"/>
    <mergeCell ref="E27:F27"/>
    <mergeCell ref="E38:F38"/>
    <mergeCell ref="C39:C49"/>
    <mergeCell ref="E39:F39"/>
    <mergeCell ref="E40:F40"/>
    <mergeCell ref="E41:F41"/>
    <mergeCell ref="E42:F42"/>
    <mergeCell ref="E43:F43"/>
    <mergeCell ref="E44:F44"/>
    <mergeCell ref="E45:F45"/>
    <mergeCell ref="E46:F46"/>
    <mergeCell ref="C28:C38"/>
    <mergeCell ref="E47:F47"/>
    <mergeCell ref="E48:F48"/>
    <mergeCell ref="E49:F49"/>
    <mergeCell ref="E37:F37"/>
    <mergeCell ref="E28:F28"/>
    <mergeCell ref="C50:C52"/>
    <mergeCell ref="E50:F50"/>
    <mergeCell ref="E51:F51"/>
    <mergeCell ref="E52:F52"/>
    <mergeCell ref="E53:F53"/>
    <mergeCell ref="C54:C57"/>
    <mergeCell ref="E54:F54"/>
    <mergeCell ref="E55:F55"/>
    <mergeCell ref="E56:F56"/>
    <mergeCell ref="E57:F57"/>
    <mergeCell ref="C58:C63"/>
    <mergeCell ref="E58:F58"/>
    <mergeCell ref="E59:F59"/>
    <mergeCell ref="E60:F60"/>
    <mergeCell ref="E61:F61"/>
    <mergeCell ref="E62:F62"/>
    <mergeCell ref="E63:F63"/>
    <mergeCell ref="C64:C69"/>
    <mergeCell ref="E64:F64"/>
    <mergeCell ref="E65:F65"/>
    <mergeCell ref="E66:F66"/>
    <mergeCell ref="E67:F67"/>
    <mergeCell ref="E68:F68"/>
    <mergeCell ref="E69:F69"/>
  </mergeCells>
  <dataValidations count="2">
    <dataValidation type="list" allowBlank="1" showInputMessage="1" showErrorMessage="1" sqref="G7" xr:uid="{F97EF954-1185-49CF-91F5-79B66C437783}">
      <formula1>INDIRECT("ConstructionType")</formula1>
    </dataValidation>
    <dataValidation type="list" allowBlank="1" showInputMessage="1" showErrorMessage="1" sqref="G7" xr:uid="{785F8E21-10BA-4E18-80AE-9531283E0B2C}">
      <formula1>INDIRECT("SecondaryBuildingUse")</formula1>
    </dataValidation>
  </dataValidations>
  <pageMargins left="0.7" right="0.7" top="0.75" bottom="0.75" header="0.3" footer="0.3"/>
  <pageSetup orientation="portrait" r:id="rId1"/>
  <rowBreaks count="3" manualBreakCount="3">
    <brk id="15" max="16383" man="1"/>
    <brk id="38" max="16383" man="1"/>
    <brk id="57"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238463F93FE694991F629BA44C3C43C" ma:contentTypeVersion="14" ma:contentTypeDescription="Create a new document." ma:contentTypeScope="" ma:versionID="1db69db2e1980caa498522d0a991e7f8">
  <xsd:schema xmlns:xsd="http://www.w3.org/2001/XMLSchema" xmlns:xs="http://www.w3.org/2001/XMLSchema" xmlns:p="http://schemas.microsoft.com/office/2006/metadata/properties" xmlns:ns2="455a72f0-7ef7-4877-ab93-2da343ac2c46" xmlns:ns3="638b5a91-92ea-4128-aad7-52ad772927c1" targetNamespace="http://schemas.microsoft.com/office/2006/metadata/properties" ma:root="true" ma:fieldsID="044dc4a9bb58bfbb7ffabcf72e79b40e" ns2:_="" ns3:_="">
    <xsd:import namespace="455a72f0-7ef7-4877-ab93-2da343ac2c46"/>
    <xsd:import namespace="638b5a91-92ea-4128-aad7-52ad772927c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5a72f0-7ef7-4877-ab93-2da343ac2c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5ea3bb0-829f-4086-a285-fcc3a08720b1"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Notes" ma:index="21" nillable="true" ma:displayName="Notes" ma:format="Dropdown" ma:internalName="Not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b5a91-92ea-4128-aad7-52ad772927c1"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786ddff3-4fea-411f-ba14-418255f8e649}" ma:internalName="TaxCatchAll" ma:showField="CatchAllData" ma:web="638b5a91-92ea-4128-aad7-52ad772927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55a72f0-7ef7-4877-ab93-2da343ac2c46">
      <Terms xmlns="http://schemas.microsoft.com/office/infopath/2007/PartnerControls"/>
    </lcf76f155ced4ddcb4097134ff3c332f>
    <Notes xmlns="455a72f0-7ef7-4877-ab93-2da343ac2c46" xsi:nil="true"/>
    <TaxCatchAll xmlns="638b5a91-92ea-4128-aad7-52ad772927c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15971A-6019-4188-AE4A-9D6FEBAC21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5a72f0-7ef7-4877-ab93-2da343ac2c46"/>
    <ds:schemaRef ds:uri="638b5a91-92ea-4128-aad7-52ad772927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9F9C30-07C4-4855-B075-F0C9F2106E7D}">
  <ds:schemaRefs>
    <ds:schemaRef ds:uri="http://schemas.openxmlformats.org/package/2006/metadata/core-properties"/>
    <ds:schemaRef ds:uri="http://purl.org/dc/dcmitype/"/>
    <ds:schemaRef ds:uri="http://purl.org/dc/elements/1.1/"/>
    <ds:schemaRef ds:uri="http://schemas.microsoft.com/office/2006/documentManagement/types"/>
    <ds:schemaRef ds:uri="http://schemas.microsoft.com/office/2006/metadata/properties"/>
    <ds:schemaRef ds:uri="638b5a91-92ea-4128-aad7-52ad772927c1"/>
    <ds:schemaRef ds:uri="http://purl.org/dc/terms/"/>
    <ds:schemaRef ds:uri="http://schemas.microsoft.com/office/infopath/2007/PartnerControls"/>
    <ds:schemaRef ds:uri="455a72f0-7ef7-4877-ab93-2da343ac2c46"/>
    <ds:schemaRef ds:uri="http://www.w3.org/XML/1998/namespace"/>
  </ds:schemaRefs>
</ds:datastoreItem>
</file>

<file path=customXml/itemProps3.xml><?xml version="1.0" encoding="utf-8"?>
<ds:datastoreItem xmlns:ds="http://schemas.openxmlformats.org/officeDocument/2006/customXml" ds:itemID="{C139E860-FDE7-4937-AF42-3028768061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20</vt:i4>
      </vt:variant>
    </vt:vector>
  </HeadingPairs>
  <TitlesOfParts>
    <vt:vector size="31" baseType="lpstr">
      <vt:lpstr>1. Instructions</vt:lpstr>
      <vt:lpstr>2. Project Info</vt:lpstr>
      <vt:lpstr>3. EC Modelling Info</vt:lpstr>
      <vt:lpstr>4. Results &amp; Compliance</vt:lpstr>
      <vt:lpstr>5. Submission Docs.</vt:lpstr>
      <vt:lpstr>6. Carbon Storage</vt:lpstr>
      <vt:lpstr>7. ILCs - Design </vt:lpstr>
      <vt:lpstr>8. ILCs - As-Built</vt:lpstr>
      <vt:lpstr>9. Definitions</vt:lpstr>
      <vt:lpstr>10. Version Tracker</vt:lpstr>
      <vt:lpstr>Backend (to be hidden)</vt:lpstr>
      <vt:lpstr>'1. Instructions'!Print_Area</vt:lpstr>
      <vt:lpstr>'10. Version Tracker'!Print_Area</vt:lpstr>
      <vt:lpstr>'2. Project Info'!Print_Area</vt:lpstr>
      <vt:lpstr>'3. EC Modelling Info'!Print_Area</vt:lpstr>
      <vt:lpstr>'4. Results &amp; Compliance'!Print_Area</vt:lpstr>
      <vt:lpstr>'5. Submission Docs.'!Print_Area</vt:lpstr>
      <vt:lpstr>'6. Carbon Storage'!Print_Area</vt:lpstr>
      <vt:lpstr>'7. ILCs - Design '!Print_Area</vt:lpstr>
      <vt:lpstr>'8. ILCs - As-Built'!Print_Area</vt:lpstr>
      <vt:lpstr>'9. Definitions'!Print_Area</vt:lpstr>
      <vt:lpstr>'1. Instructions'!Print_Titles</vt:lpstr>
      <vt:lpstr>'10. Version Tracker'!Print_Titles</vt:lpstr>
      <vt:lpstr>'2. Project Info'!Print_Titles</vt:lpstr>
      <vt:lpstr>'3. EC Modelling Info'!Print_Titles</vt:lpstr>
      <vt:lpstr>'4. Results &amp; Compliance'!Print_Titles</vt:lpstr>
      <vt:lpstr>'5. Submission Docs.'!Print_Titles</vt:lpstr>
      <vt:lpstr>'6. Carbon Storage'!Print_Titles</vt:lpstr>
      <vt:lpstr>'7. ILCs - Design '!Print_Titles</vt:lpstr>
      <vt:lpstr>'8. ILCs - As-Built'!Print_Titles</vt:lpstr>
      <vt:lpstr>'9. Definitions'!Print_Titles</vt:lpstr>
    </vt:vector>
  </TitlesOfParts>
  <Manager/>
  <Company>City of Vancouver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Embodied carbon design report v2.0 - sample</dc:title>
  <dc:subject>city-of-vancouver-embodied-carbon-design-report-v2.0-sample</dc:subject>
  <dc:creator>City of Vancouver</dc:creator>
  <cp:keywords>city of vancouver; planning; zoning; bylaw; design report; reporting template; embodied carbon; vancouver building bylaw; big move 5</cp:keywords>
  <dc:description/>
  <cp:lastModifiedBy>Borch, Forest</cp:lastModifiedBy>
  <cp:revision/>
  <cp:lastPrinted>2025-07-09T17:24:11Z</cp:lastPrinted>
  <dcterms:created xsi:type="dcterms:W3CDTF">2023-03-02T01:13:42Z</dcterms:created>
  <dcterms:modified xsi:type="dcterms:W3CDTF">2025-10-06T17:33:08Z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0x0101004238463F93FE694991F629BA44C3C43C</vt:lpwstr>
  </property>
  <property fmtid="{D5CDD505-2E9C-101B-9397-08002B2CF9AE}" pid="3" name="MediaServiceImageTags">
    <vt:lpwstr/>
  </property>
</Properties>
</file>