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vrp\Downloads\"/>
    </mc:Choice>
  </mc:AlternateContent>
  <workbookProtection workbookPassword="9109" lockStructure="1"/>
  <bookViews>
    <workbookView xWindow="285" yWindow="315" windowWidth="22695" windowHeight="9270" tabRatio="787"/>
  </bookViews>
  <sheets>
    <sheet name="Input" sheetId="1" r:id="rId1"/>
    <sheet name="Drop Down Lists" sheetId="10" state="hidden" r:id="rId2"/>
    <sheet name="Emission Factors" sheetId="4" state="hidden" r:id="rId3"/>
    <sheet name="Fuel Consumption by Gen Size" sheetId="6" state="hidden" r:id="rId4"/>
    <sheet name="Gas fuel consumption by Gen Siz" sheetId="7" state="hidden" r:id="rId5"/>
    <sheet name="Nat Gas Consumption by Gen Size" sheetId="11" state="hidden" r:id="rId6"/>
  </sheets>
  <externalReferences>
    <externalReference r:id="rId7"/>
    <externalReference r:id="rId8"/>
    <externalReference r:id="rId9"/>
  </externalReferences>
  <definedNames>
    <definedName name="Average_Growth">#REF!</definedName>
    <definedName name="_xlnm.Database">'[1]1995 v.95'!#REF!</definedName>
    <definedName name="EF_B10_HDV">'Emission Factors'!$I$352</definedName>
    <definedName name="EF_B10_LDT">'Emission Factors'!$I$342</definedName>
    <definedName name="EF_B10_LDV">'Emission Factors'!$I$331</definedName>
    <definedName name="EF_B10_M">'Emission Factors'!$I$375</definedName>
    <definedName name="EF_B10_OR">'Emission Factors'!$I$365</definedName>
    <definedName name="EF_B100">'Emission Factors'!$I$320</definedName>
    <definedName name="EF_B100_HDV">'Emission Factors'!$I$348</definedName>
    <definedName name="EF_B100_LDT">'Emission Factors'!$I$337</definedName>
    <definedName name="EF_B100_LDV">'Emission Factors'!$I$326</definedName>
    <definedName name="EF_B100_M">'Emission Factors'!$I$371</definedName>
    <definedName name="EF_B100_OR">'Emission Factors'!$I$360</definedName>
    <definedName name="EF_B20_HDV">'Emission Factors'!$I$353</definedName>
    <definedName name="EF_B20_LDT">'Emission Factors'!$I$343</definedName>
    <definedName name="EF_B20_LDV">'Emission Factors'!$I$332</definedName>
    <definedName name="EF_B20_M">'Emission Factors'!$I$376</definedName>
    <definedName name="EF_B20_OR">'Emission Factors'!$I$366</definedName>
    <definedName name="EF_B5_HDV">'Emission Factors'!$I$351</definedName>
    <definedName name="EF_B5_LDT">'Emission Factors'!$I$341</definedName>
    <definedName name="EF_B5_LDV">'Emission Factors'!$I$330</definedName>
    <definedName name="EF_B5_M">'Emission Factors'!$I$374</definedName>
    <definedName name="EF_B5_OR">'Emission Factors'!$I$363</definedName>
    <definedName name="EF_B50_HDV">'Emission Factors'!$I$354</definedName>
    <definedName name="EF_B50_LDT">'Emission Factors'!$I$344</definedName>
    <definedName name="EF_B50_LDV">'Emission Factors'!$I$333</definedName>
    <definedName name="EF_B50_M">'Emission Factors'!$I$377</definedName>
    <definedName name="EF_B50_OR">'Emission Factors'!$I$367</definedName>
    <definedName name="EF_D_AV">'Emission Factors'!$I$379</definedName>
    <definedName name="EF_D_HDV">'Emission Factors'!$I$346</definedName>
    <definedName name="EF_D_LDT">'Emission Factors'!$I$335</definedName>
    <definedName name="EF_D_LDV">'Emission Factors'!$I$324</definedName>
    <definedName name="EF_D_M">'Emission Factors'!$I$369</definedName>
    <definedName name="EF_D_OR">'Emission Factors'!$I$358</definedName>
    <definedName name="EF_E10_HDV">'Emission Factors'!$I$350</definedName>
    <definedName name="EF_E10_LDT">'Emission Factors'!$I$340</definedName>
    <definedName name="EF_E10_LDV">'Emission Factors'!$I$329</definedName>
    <definedName name="EF_E10_M">'Emission Factors'!$I$373</definedName>
    <definedName name="EF_E10_MC">'Emission Factors'!$I$356</definedName>
    <definedName name="EF_E10_OR">'Emission Factors'!$I$364</definedName>
    <definedName name="EF_E100">'Emission Factors'!$I$319</definedName>
    <definedName name="EF_E100_HDV">'Emission Factors'!$I$347</definedName>
    <definedName name="EF_E100_LDT">'Emission Factors'!$I$336</definedName>
    <definedName name="EF_E100_LDV">'Emission Factors'!$I$325</definedName>
    <definedName name="EF_E100_M">'Emission Factors'!$I$370</definedName>
    <definedName name="EF_E100_OR">'Emission Factors'!$I$359</definedName>
    <definedName name="EF_G_AV">'Emission Factors'!$I$378</definedName>
    <definedName name="EF_G_HDV">'Emission Factors'!$I$345</definedName>
    <definedName name="EF_G_LDT">'Emission Factors'!$I$334</definedName>
    <definedName name="EF_G_LDV">'Emission Factors'!$I$323</definedName>
    <definedName name="EF_G_M">'Emission Factors'!$I$368</definedName>
    <definedName name="EF_G_MC">'Emission Factors'!$I$355</definedName>
    <definedName name="EF_G_OR">'Emission Factors'!$I$357</definedName>
    <definedName name="EF_NG_LDT">'Emission Factors'!$I$339</definedName>
    <definedName name="EF_NG_LDV">'Emission Factors'!$I$328</definedName>
    <definedName name="EF_NG_OR">'Emission Factors'!$I$362</definedName>
    <definedName name="EF_P_HDV">'Emission Factors'!$I$349</definedName>
    <definedName name="EF_P_LDT">'Emission Factors'!$I$338</definedName>
    <definedName name="EF_P_LDV">'Emission Factors'!$I$327</definedName>
    <definedName name="EF_P_M">'Emission Factors'!$I$372</definedName>
    <definedName name="EF_P_OR">'Emission Factors'!$I$361</definedName>
    <definedName name="EF_steam">'Emission Factors'!$F$274</definedName>
    <definedName name="Elc_Factors">'Emission Factors'!$B$282:$R$292</definedName>
    <definedName name="electric_Factor">#REF!</definedName>
    <definedName name="Factor_for_non_consumed_protein_added_to_wastewater">#REF!</definedName>
    <definedName name="FG_units">[2]Sheet1!$B$4:$B$7</definedName>
    <definedName name="FG_units1">[2]Sheet1!$B$3:$B$11</definedName>
    <definedName name="fugitive_factors">#REF!</definedName>
    <definedName name="Gas_Factor">#REF!</definedName>
    <definedName name="Industrial_WW">#REF!</definedName>
    <definedName name="Industry_Type">#REF!</definedName>
    <definedName name="IndustryType">#REF!</definedName>
    <definedName name="off_price">#REF!</definedName>
    <definedName name="_xlnm.Print_Area" localSheetId="2">'Emission Factors'!$B$1:$AD$264</definedName>
    <definedName name="ranges">#REF!</definedName>
    <definedName name="Regions">#REF!</definedName>
    <definedName name="RRPCoq_LFBBog">[3]Waste!#REF!</definedName>
    <definedName name="RRPCoq_LFCreek">[3]Waste!#REF!</definedName>
    <definedName name="TSNShore_LFBBog">[3]Waste!#REF!</definedName>
    <definedName name="TSNShore_LFCreek">[3]Waste!#REF!</definedName>
  </definedNames>
  <calcPr calcId="162913"/>
</workbook>
</file>

<file path=xl/calcChain.xml><?xml version="1.0" encoding="utf-8"?>
<calcChain xmlns="http://schemas.openxmlformats.org/spreadsheetml/2006/main">
  <c r="D25" i="1" l="1"/>
  <c r="C25" i="1"/>
  <c r="D26" i="1"/>
  <c r="C26" i="1"/>
  <c r="D24" i="1"/>
  <c r="C24" i="1"/>
  <c r="C12" i="7"/>
  <c r="D12" i="7"/>
  <c r="C13" i="7"/>
  <c r="D13" i="7"/>
  <c r="C14" i="7"/>
  <c r="D14" i="7"/>
  <c r="C15" i="7"/>
  <c r="D15" i="7"/>
  <c r="B24" i="1"/>
  <c r="B25" i="1" s="1"/>
  <c r="C5" i="7"/>
  <c r="D5" i="7"/>
  <c r="C6" i="7"/>
  <c r="D6" i="7"/>
  <c r="C7" i="7"/>
  <c r="D7" i="7"/>
  <c r="C8" i="7"/>
  <c r="D8" i="7"/>
  <c r="C9" i="7"/>
  <c r="D9" i="7"/>
  <c r="C10" i="7"/>
  <c r="D10" i="7"/>
  <c r="C11" i="7"/>
  <c r="D11" i="7"/>
  <c r="B26" i="1" l="1"/>
  <c r="D27" i="1"/>
  <c r="D28" i="1" s="1"/>
  <c r="I379" i="4" l="1"/>
  <c r="I378" i="4"/>
  <c r="F377" i="4"/>
  <c r="F376" i="4"/>
  <c r="F375" i="4"/>
  <c r="H374" i="4"/>
  <c r="H375" i="4" s="1"/>
  <c r="H376" i="4" s="1"/>
  <c r="H377" i="4" s="1"/>
  <c r="G374" i="4"/>
  <c r="G375" i="4" s="1"/>
  <c r="F374" i="4"/>
  <c r="H373" i="4"/>
  <c r="G373" i="4"/>
  <c r="F373" i="4"/>
  <c r="I372" i="4"/>
  <c r="H371" i="4"/>
  <c r="G371" i="4"/>
  <c r="F371" i="4"/>
  <c r="H370" i="4"/>
  <c r="G370" i="4"/>
  <c r="F370" i="4"/>
  <c r="I369" i="4"/>
  <c r="I368" i="4"/>
  <c r="H367" i="4"/>
  <c r="G367" i="4"/>
  <c r="F367" i="4"/>
  <c r="H366" i="4"/>
  <c r="G366" i="4"/>
  <c r="F366" i="4"/>
  <c r="H365" i="4"/>
  <c r="G365" i="4"/>
  <c r="F365" i="4"/>
  <c r="H364" i="4"/>
  <c r="G364" i="4"/>
  <c r="F364" i="4"/>
  <c r="H363" i="4"/>
  <c r="G363" i="4"/>
  <c r="F363" i="4"/>
  <c r="I362" i="4"/>
  <c r="I361" i="4"/>
  <c r="H360" i="4"/>
  <c r="G360" i="4"/>
  <c r="F360" i="4"/>
  <c r="H359" i="4"/>
  <c r="G359" i="4"/>
  <c r="F359" i="4"/>
  <c r="I358" i="4"/>
  <c r="I357" i="4"/>
  <c r="H356" i="4"/>
  <c r="G356" i="4"/>
  <c r="F356" i="4"/>
  <c r="I355" i="4"/>
  <c r="F354" i="4"/>
  <c r="F353" i="4"/>
  <c r="G352" i="4"/>
  <c r="G353" i="4" s="1"/>
  <c r="F352" i="4"/>
  <c r="H351" i="4"/>
  <c r="H352" i="4" s="1"/>
  <c r="H353" i="4" s="1"/>
  <c r="H354" i="4" s="1"/>
  <c r="G351" i="4"/>
  <c r="F351" i="4"/>
  <c r="I351" i="4" s="1"/>
  <c r="H350" i="4"/>
  <c r="G350" i="4"/>
  <c r="F350" i="4"/>
  <c r="I349" i="4"/>
  <c r="H348" i="4"/>
  <c r="G348" i="4"/>
  <c r="F348" i="4"/>
  <c r="H347" i="4"/>
  <c r="G347" i="4"/>
  <c r="F347" i="4"/>
  <c r="I346" i="4"/>
  <c r="I345" i="4"/>
  <c r="H344" i="4"/>
  <c r="G344" i="4"/>
  <c r="F344" i="4"/>
  <c r="H343" i="4"/>
  <c r="G343" i="4"/>
  <c r="F343" i="4"/>
  <c r="H342" i="4"/>
  <c r="G342" i="4"/>
  <c r="F342" i="4"/>
  <c r="H341" i="4"/>
  <c r="G341" i="4"/>
  <c r="F341" i="4"/>
  <c r="I341" i="4" s="1"/>
  <c r="H340" i="4"/>
  <c r="G340" i="4"/>
  <c r="F340" i="4"/>
  <c r="I339" i="4"/>
  <c r="I338" i="4"/>
  <c r="H337" i="4"/>
  <c r="G337" i="4"/>
  <c r="F337" i="4"/>
  <c r="I337" i="4" s="1"/>
  <c r="H336" i="4"/>
  <c r="G336" i="4"/>
  <c r="F336" i="4"/>
  <c r="I335" i="4"/>
  <c r="I334" i="4"/>
  <c r="H333" i="4"/>
  <c r="G333" i="4"/>
  <c r="F333" i="4"/>
  <c r="H332" i="4"/>
  <c r="G332" i="4"/>
  <c r="F332" i="4"/>
  <c r="I332" i="4" s="1"/>
  <c r="H331" i="4"/>
  <c r="G331" i="4"/>
  <c r="F331" i="4"/>
  <c r="H330" i="4"/>
  <c r="G330" i="4"/>
  <c r="F330" i="4"/>
  <c r="H329" i="4"/>
  <c r="G329" i="4"/>
  <c r="F329" i="4"/>
  <c r="L328" i="4"/>
  <c r="I328" i="4"/>
  <c r="L327" i="4"/>
  <c r="I327" i="4"/>
  <c r="H326" i="4"/>
  <c r="G326" i="4"/>
  <c r="F326" i="4"/>
  <c r="H325" i="4"/>
  <c r="G325" i="4"/>
  <c r="F325" i="4"/>
  <c r="I325" i="4" s="1"/>
  <c r="L324" i="4"/>
  <c r="I324" i="4"/>
  <c r="L332" i="4" s="1"/>
  <c r="L323" i="4"/>
  <c r="L329" i="4" s="1"/>
  <c r="I323" i="4"/>
  <c r="L322" i="4"/>
  <c r="L321" i="4"/>
  <c r="L320" i="4"/>
  <c r="H311" i="4"/>
  <c r="L311" i="4" s="1"/>
  <c r="I310" i="4"/>
  <c r="H310" i="4"/>
  <c r="L310" i="4" s="1"/>
  <c r="G310" i="4"/>
  <c r="J309" i="4"/>
  <c r="I309" i="4"/>
  <c r="I311" i="4" s="1"/>
  <c r="H309" i="4"/>
  <c r="K309" i="4" s="1"/>
  <c r="G309" i="4"/>
  <c r="G311" i="4" s="1"/>
  <c r="J311" i="4" s="1"/>
  <c r="H302" i="4"/>
  <c r="B293" i="4"/>
  <c r="Z292" i="4"/>
  <c r="AA292" i="4" s="1"/>
  <c r="AB292" i="4" s="1"/>
  <c r="AB291" i="4"/>
  <c r="AC291" i="4" s="1"/>
  <c r="AA291" i="4"/>
  <c r="AA290" i="4"/>
  <c r="AB290" i="4" s="1"/>
  <c r="AA289" i="4"/>
  <c r="AB289" i="4" s="1"/>
  <c r="Z289" i="4"/>
  <c r="AA288" i="4"/>
  <c r="AB288" i="4" s="1"/>
  <c r="AC288" i="4" s="1"/>
  <c r="AA287" i="4"/>
  <c r="AB287" i="4" s="1"/>
  <c r="AC287" i="4" s="1"/>
  <c r="Z286" i="4"/>
  <c r="AA286" i="4" s="1"/>
  <c r="AB286" i="4" s="1"/>
  <c r="AA285" i="4"/>
  <c r="AB285" i="4" s="1"/>
  <c r="AC285" i="4" s="1"/>
  <c r="AA284" i="4"/>
  <c r="AB284" i="4" s="1"/>
  <c r="AA283" i="4"/>
  <c r="AB283" i="4" s="1"/>
  <c r="F274" i="4"/>
  <c r="Q263" i="4"/>
  <c r="P263" i="4"/>
  <c r="O263" i="4"/>
  <c r="N263" i="4"/>
  <c r="M263" i="4"/>
  <c r="D263" i="4"/>
  <c r="Q262" i="4"/>
  <c r="P262" i="4"/>
  <c r="O262" i="4"/>
  <c r="N262" i="4"/>
  <c r="M262" i="4"/>
  <c r="D262" i="4"/>
  <c r="D261" i="4"/>
  <c r="D260" i="4"/>
  <c r="D259" i="4"/>
  <c r="D258" i="4"/>
  <c r="D257" i="4"/>
  <c r="D256" i="4"/>
  <c r="D255" i="4"/>
  <c r="D254" i="4"/>
  <c r="D253" i="4"/>
  <c r="D252" i="4"/>
  <c r="P251" i="4"/>
  <c r="O251" i="4"/>
  <c r="D251" i="4"/>
  <c r="Q250" i="4"/>
  <c r="P250" i="4"/>
  <c r="O250" i="4"/>
  <c r="N250" i="4"/>
  <c r="M250" i="4"/>
  <c r="D250" i="4"/>
  <c r="Q249" i="4"/>
  <c r="P249" i="4"/>
  <c r="O249" i="4"/>
  <c r="N249" i="4"/>
  <c r="M249" i="4"/>
  <c r="D249" i="4"/>
  <c r="D248" i="4"/>
  <c r="D247" i="4"/>
  <c r="D246" i="4"/>
  <c r="D245" i="4"/>
  <c r="D244" i="4"/>
  <c r="D243" i="4"/>
  <c r="D242" i="4"/>
  <c r="D241" i="4"/>
  <c r="D240" i="4"/>
  <c r="D239" i="4"/>
  <c r="Q238" i="4"/>
  <c r="P238" i="4"/>
  <c r="O238" i="4"/>
  <c r="D238" i="4"/>
  <c r="P237" i="4"/>
  <c r="O237" i="4"/>
  <c r="D237" i="4"/>
  <c r="Q236" i="4"/>
  <c r="P236" i="4"/>
  <c r="O236" i="4"/>
  <c r="N236" i="4"/>
  <c r="M236" i="4"/>
  <c r="D236" i="4"/>
  <c r="Q235" i="4"/>
  <c r="P235" i="4"/>
  <c r="O235" i="4"/>
  <c r="N235" i="4"/>
  <c r="M235" i="4"/>
  <c r="D235" i="4"/>
  <c r="D234" i="4"/>
  <c r="D233" i="4"/>
  <c r="D232" i="4"/>
  <c r="Q231" i="4"/>
  <c r="P231" i="4"/>
  <c r="O231" i="4"/>
  <c r="N231" i="4"/>
  <c r="M231" i="4"/>
  <c r="D231" i="4"/>
  <c r="D230" i="4"/>
  <c r="D229" i="4"/>
  <c r="D228" i="4"/>
  <c r="D227" i="4"/>
  <c r="D226" i="4"/>
  <c r="D225" i="4"/>
  <c r="D224" i="4"/>
  <c r="D223" i="4"/>
  <c r="D222" i="4"/>
  <c r="D221" i="4"/>
  <c r="Q220" i="4"/>
  <c r="P220" i="4"/>
  <c r="O220" i="4"/>
  <c r="D220" i="4"/>
  <c r="D219" i="4"/>
  <c r="D218" i="4"/>
  <c r="D217" i="4"/>
  <c r="D216" i="4"/>
  <c r="D215" i="4"/>
  <c r="D214" i="4"/>
  <c r="D213" i="4"/>
  <c r="D212" i="4"/>
  <c r="D211" i="4"/>
  <c r="D210" i="4"/>
  <c r="D209" i="4"/>
  <c r="D208" i="4"/>
  <c r="Q207" i="4"/>
  <c r="P207" i="4"/>
  <c r="O207" i="4"/>
  <c r="N207" i="4"/>
  <c r="M207" i="4"/>
  <c r="D207" i="4"/>
  <c r="Q206" i="4"/>
  <c r="P206" i="4"/>
  <c r="O206" i="4"/>
  <c r="N206" i="4"/>
  <c r="M206" i="4"/>
  <c r="D206" i="4"/>
  <c r="D205" i="4"/>
  <c r="D204" i="4"/>
  <c r="D203" i="4"/>
  <c r="D202" i="4"/>
  <c r="D201" i="4"/>
  <c r="D200" i="4"/>
  <c r="D199" i="4"/>
  <c r="D198" i="4"/>
  <c r="D197" i="4"/>
  <c r="D196" i="4"/>
  <c r="D195" i="4"/>
  <c r="D194" i="4"/>
  <c r="Q193" i="4"/>
  <c r="P193" i="4"/>
  <c r="O193" i="4"/>
  <c r="N193" i="4"/>
  <c r="M193" i="4"/>
  <c r="D193" i="4"/>
  <c r="Q192" i="4"/>
  <c r="P192" i="4"/>
  <c r="O192" i="4"/>
  <c r="N192" i="4"/>
  <c r="M192" i="4"/>
  <c r="D192" i="4"/>
  <c r="D191" i="4"/>
  <c r="D190" i="4"/>
  <c r="R185" i="4"/>
  <c r="S185" i="4" s="1"/>
  <c r="T185" i="4" s="1"/>
  <c r="L185" i="4"/>
  <c r="R184" i="4"/>
  <c r="S184" i="4" s="1"/>
  <c r="T184" i="4" s="1"/>
  <c r="L184" i="4"/>
  <c r="Q183" i="4"/>
  <c r="R183" i="4" s="1"/>
  <c r="S183" i="4" s="1"/>
  <c r="T183" i="4" s="1"/>
  <c r="N183" i="4"/>
  <c r="M183" i="4"/>
  <c r="L183" i="4" s="1"/>
  <c r="R182" i="4"/>
  <c r="S182" i="4" s="1"/>
  <c r="T182" i="4" s="1"/>
  <c r="L182" i="4"/>
  <c r="R181" i="4"/>
  <c r="S181" i="4" s="1"/>
  <c r="T181" i="4" s="1"/>
  <c r="L181" i="4"/>
  <c r="R180" i="4"/>
  <c r="S180" i="4" s="1"/>
  <c r="T180" i="4" s="1"/>
  <c r="N180" i="4"/>
  <c r="M180" i="4"/>
  <c r="L180" i="4" s="1"/>
  <c r="Q179" i="4"/>
  <c r="R179" i="4" s="1"/>
  <c r="S179" i="4" s="1"/>
  <c r="T179" i="4" s="1"/>
  <c r="N179" i="4"/>
  <c r="M179" i="4"/>
  <c r="L179" i="4" s="1"/>
  <c r="S178" i="4"/>
  <c r="T178" i="4" s="1"/>
  <c r="R178" i="4"/>
  <c r="L178" i="4"/>
  <c r="S177" i="4"/>
  <c r="T177" i="4" s="1"/>
  <c r="R177" i="4"/>
  <c r="L177" i="4"/>
  <c r="R176" i="4"/>
  <c r="S176" i="4" s="1"/>
  <c r="T176" i="4" s="1"/>
  <c r="L176" i="4"/>
  <c r="R175" i="4"/>
  <c r="W175" i="4" s="1"/>
  <c r="X175" i="4" s="1"/>
  <c r="N175" i="4"/>
  <c r="M175" i="4"/>
  <c r="L175" i="4" s="1"/>
  <c r="R174" i="4"/>
  <c r="S174" i="4" s="1"/>
  <c r="T174" i="4" s="1"/>
  <c r="L174" i="4"/>
  <c r="R173" i="4"/>
  <c r="S173" i="4" s="1"/>
  <c r="T173" i="4" s="1"/>
  <c r="L173" i="4"/>
  <c r="R172" i="4"/>
  <c r="S172" i="4" s="1"/>
  <c r="T172" i="4" s="1"/>
  <c r="L172" i="4"/>
  <c r="S171" i="4"/>
  <c r="T171" i="4" s="1"/>
  <c r="R171" i="4"/>
  <c r="L171" i="4"/>
  <c r="R170" i="4"/>
  <c r="S170" i="4" s="1"/>
  <c r="T170" i="4" s="1"/>
  <c r="L170" i="4"/>
  <c r="S169" i="4"/>
  <c r="T169" i="4" s="1"/>
  <c r="R169" i="4"/>
  <c r="L169" i="4"/>
  <c r="R168" i="4"/>
  <c r="S168" i="4" s="1"/>
  <c r="T168" i="4" s="1"/>
  <c r="L168" i="4"/>
  <c r="R167" i="4"/>
  <c r="S167" i="4" s="1"/>
  <c r="T167" i="4" s="1"/>
  <c r="L167" i="4"/>
  <c r="R166" i="4"/>
  <c r="S166" i="4" s="1"/>
  <c r="T166" i="4" s="1"/>
  <c r="L166" i="4"/>
  <c r="R165" i="4"/>
  <c r="S165" i="4" s="1"/>
  <c r="T165" i="4" s="1"/>
  <c r="L165" i="4"/>
  <c r="R161" i="4"/>
  <c r="S161" i="4" s="1"/>
  <c r="T161" i="4" s="1"/>
  <c r="L161" i="4"/>
  <c r="R160" i="4"/>
  <c r="S160" i="4" s="1"/>
  <c r="T160" i="4" s="1"/>
  <c r="L160" i="4"/>
  <c r="S159" i="4"/>
  <c r="T159" i="4" s="1"/>
  <c r="Q159" i="4"/>
  <c r="R159" i="4" s="1"/>
  <c r="N159" i="4"/>
  <c r="M159" i="4"/>
  <c r="L159" i="4" s="1"/>
  <c r="R158" i="4"/>
  <c r="S158" i="4" s="1"/>
  <c r="T158" i="4" s="1"/>
  <c r="L158" i="4"/>
  <c r="R157" i="4"/>
  <c r="S157" i="4" s="1"/>
  <c r="T157" i="4" s="1"/>
  <c r="L157" i="4"/>
  <c r="R156" i="4"/>
  <c r="S156" i="4" s="1"/>
  <c r="T156" i="4" s="1"/>
  <c r="N156" i="4"/>
  <c r="M156" i="4"/>
  <c r="L156" i="4" s="1"/>
  <c r="R155" i="4"/>
  <c r="S155" i="4" s="1"/>
  <c r="T155" i="4" s="1"/>
  <c r="Q155" i="4"/>
  <c r="N155" i="4"/>
  <c r="M155" i="4"/>
  <c r="L155" i="4" s="1"/>
  <c r="R154" i="4"/>
  <c r="S154" i="4" s="1"/>
  <c r="T154" i="4" s="1"/>
  <c r="L154" i="4"/>
  <c r="R153" i="4"/>
  <c r="S153" i="4" s="1"/>
  <c r="T153" i="4" s="1"/>
  <c r="L153" i="4"/>
  <c r="R152" i="4"/>
  <c r="S152" i="4" s="1"/>
  <c r="T152" i="4" s="1"/>
  <c r="L152" i="4"/>
  <c r="S151" i="4"/>
  <c r="T151" i="4" s="1"/>
  <c r="R151" i="4"/>
  <c r="W151" i="4" s="1"/>
  <c r="X151" i="4" s="1"/>
  <c r="N151" i="4"/>
  <c r="M151" i="4"/>
  <c r="L151" i="4" s="1"/>
  <c r="S150" i="4"/>
  <c r="T150" i="4" s="1"/>
  <c r="R150" i="4"/>
  <c r="L150" i="4"/>
  <c r="S149" i="4"/>
  <c r="T149" i="4" s="1"/>
  <c r="R149" i="4"/>
  <c r="L149" i="4"/>
  <c r="S148" i="4"/>
  <c r="T148" i="4" s="1"/>
  <c r="R148" i="4"/>
  <c r="L148" i="4"/>
  <c r="R147" i="4"/>
  <c r="S147" i="4" s="1"/>
  <c r="T147" i="4" s="1"/>
  <c r="L147" i="4"/>
  <c r="S146" i="4"/>
  <c r="T146" i="4" s="1"/>
  <c r="R146" i="4"/>
  <c r="L146" i="4"/>
  <c r="R145" i="4"/>
  <c r="S145" i="4" s="1"/>
  <c r="T145" i="4" s="1"/>
  <c r="L145" i="4"/>
  <c r="R144" i="4"/>
  <c r="S144" i="4" s="1"/>
  <c r="T144" i="4" s="1"/>
  <c r="L144" i="4"/>
  <c r="R143" i="4"/>
  <c r="S143" i="4" s="1"/>
  <c r="T143" i="4" s="1"/>
  <c r="L143" i="4"/>
  <c r="S142" i="4"/>
  <c r="T142" i="4" s="1"/>
  <c r="R142" i="4"/>
  <c r="L142" i="4"/>
  <c r="R141" i="4"/>
  <c r="S141" i="4" s="1"/>
  <c r="T141" i="4" s="1"/>
  <c r="L141" i="4"/>
  <c r="R137" i="4"/>
  <c r="S137" i="4" s="1"/>
  <c r="L137" i="4"/>
  <c r="L263" i="4" s="1"/>
  <c r="R136" i="4"/>
  <c r="L136" i="4"/>
  <c r="L262" i="4" s="1"/>
  <c r="Q135" i="4"/>
  <c r="N135" i="4"/>
  <c r="M135" i="4"/>
  <c r="R134" i="4"/>
  <c r="L134" i="4"/>
  <c r="L250" i="4" s="1"/>
  <c r="R133" i="4"/>
  <c r="L133" i="4"/>
  <c r="R132" i="4"/>
  <c r="N132" i="4"/>
  <c r="M132" i="4"/>
  <c r="Q131" i="4"/>
  <c r="Q237" i="4" s="1"/>
  <c r="N131" i="4"/>
  <c r="N237" i="4" s="1"/>
  <c r="M131" i="4"/>
  <c r="L131" i="4" s="1"/>
  <c r="R130" i="4"/>
  <c r="R236" i="4" s="1"/>
  <c r="L130" i="4"/>
  <c r="R129" i="4"/>
  <c r="R235" i="4" s="1"/>
  <c r="L129" i="4"/>
  <c r="L235" i="4" s="1"/>
  <c r="R128" i="4"/>
  <c r="R231" i="4" s="1"/>
  <c r="L128" i="4"/>
  <c r="L231" i="4" s="1"/>
  <c r="R127" i="4"/>
  <c r="N127" i="4"/>
  <c r="M127" i="4"/>
  <c r="M220" i="4" s="1"/>
  <c r="R126" i="4"/>
  <c r="S126" i="4" s="1"/>
  <c r="T126" i="4" s="1"/>
  <c r="L126" i="4"/>
  <c r="R125" i="4"/>
  <c r="S125" i="4" s="1"/>
  <c r="T125" i="4" s="1"/>
  <c r="L125" i="4"/>
  <c r="R124" i="4"/>
  <c r="L124" i="4"/>
  <c r="R123" i="4"/>
  <c r="R206" i="4" s="1"/>
  <c r="L123" i="4"/>
  <c r="R122" i="4"/>
  <c r="S122" i="4" s="1"/>
  <c r="T122" i="4" s="1"/>
  <c r="L122" i="4"/>
  <c r="R121" i="4"/>
  <c r="S121" i="4" s="1"/>
  <c r="T121" i="4" s="1"/>
  <c r="L121" i="4"/>
  <c r="R120" i="4"/>
  <c r="L120" i="4"/>
  <c r="R119" i="4"/>
  <c r="R192" i="4" s="1"/>
  <c r="L119" i="4"/>
  <c r="R118" i="4"/>
  <c r="S118" i="4" s="1"/>
  <c r="L118" i="4"/>
  <c r="L116" i="4" s="1"/>
  <c r="R117" i="4"/>
  <c r="R115" i="4" s="1"/>
  <c r="L117" i="4"/>
  <c r="L115" i="4" s="1"/>
  <c r="U116" i="4"/>
  <c r="Q116" i="4"/>
  <c r="Q200" i="4" s="1"/>
  <c r="P116" i="4"/>
  <c r="O116" i="4"/>
  <c r="O222" i="4" s="1"/>
  <c r="N116" i="4"/>
  <c r="M116" i="4"/>
  <c r="M213" i="4" s="1"/>
  <c r="K116" i="4"/>
  <c r="J116" i="4"/>
  <c r="I116" i="4"/>
  <c r="H116" i="4"/>
  <c r="G116" i="4"/>
  <c r="U115" i="4"/>
  <c r="Q115" i="4"/>
  <c r="Q217" i="4" s="1"/>
  <c r="P115" i="4"/>
  <c r="O115" i="4"/>
  <c r="O204" i="4" s="1"/>
  <c r="N115" i="4"/>
  <c r="M115" i="4"/>
  <c r="K115" i="4"/>
  <c r="J115" i="4"/>
  <c r="I115" i="4"/>
  <c r="H115" i="4"/>
  <c r="G115" i="4"/>
  <c r="R111" i="4"/>
  <c r="S111" i="4" s="1"/>
  <c r="T111" i="4" s="1"/>
  <c r="L111" i="4"/>
  <c r="R110" i="4"/>
  <c r="S110" i="4" s="1"/>
  <c r="T110" i="4" s="1"/>
  <c r="L110" i="4"/>
  <c r="R109" i="4"/>
  <c r="S109" i="4" s="1"/>
  <c r="T109" i="4" s="1"/>
  <c r="L109" i="4"/>
  <c r="R108" i="4"/>
  <c r="S108" i="4" s="1"/>
  <c r="T108" i="4" s="1"/>
  <c r="L108" i="4"/>
  <c r="R107" i="4"/>
  <c r="S107" i="4" s="1"/>
  <c r="T107" i="4" s="1"/>
  <c r="L107" i="4"/>
  <c r="R106" i="4"/>
  <c r="S106" i="4" s="1"/>
  <c r="T106" i="4" s="1"/>
  <c r="L106" i="4"/>
  <c r="R105" i="4"/>
  <c r="S105" i="4" s="1"/>
  <c r="T105" i="4" s="1"/>
  <c r="L105" i="4"/>
  <c r="S104" i="4"/>
  <c r="T104" i="4" s="1"/>
  <c r="R104" i="4"/>
  <c r="L104" i="4"/>
  <c r="S103" i="4"/>
  <c r="T103" i="4" s="1"/>
  <c r="R103" i="4"/>
  <c r="L103" i="4"/>
  <c r="S102" i="4"/>
  <c r="T102" i="4" s="1"/>
  <c r="R102" i="4"/>
  <c r="L102" i="4"/>
  <c r="R101" i="4"/>
  <c r="S101" i="4" s="1"/>
  <c r="T101" i="4" s="1"/>
  <c r="L101" i="4"/>
  <c r="S100" i="4"/>
  <c r="T100" i="4" s="1"/>
  <c r="R100" i="4"/>
  <c r="L100" i="4"/>
  <c r="R99" i="4"/>
  <c r="S99" i="4" s="1"/>
  <c r="T99" i="4" s="1"/>
  <c r="L99" i="4"/>
  <c r="R98" i="4"/>
  <c r="S98" i="4" s="1"/>
  <c r="T98" i="4" s="1"/>
  <c r="L98" i="4"/>
  <c r="F80" i="4"/>
  <c r="F78" i="4"/>
  <c r="F72" i="4"/>
  <c r="F64" i="4"/>
  <c r="F61" i="4"/>
  <c r="F60" i="4"/>
  <c r="F76" i="4" s="1"/>
  <c r="F59" i="4"/>
  <c r="F58" i="4"/>
  <c r="U45" i="4"/>
  <c r="P45" i="4"/>
  <c r="J45" i="4"/>
  <c r="I45" i="4"/>
  <c r="I47" i="4" s="1"/>
  <c r="H45" i="4"/>
  <c r="G45" i="4"/>
  <c r="F45" i="4"/>
  <c r="F47" i="4" s="1"/>
  <c r="Q44" i="4"/>
  <c r="Q45" i="4" s="1"/>
  <c r="O44" i="4"/>
  <c r="O45" i="4" s="1"/>
  <c r="O47" i="4" s="1"/>
  <c r="N44" i="4"/>
  <c r="N45" i="4" s="1"/>
  <c r="N47" i="4" s="1"/>
  <c r="L44" i="4"/>
  <c r="M44" i="4" s="1"/>
  <c r="M45" i="4" s="1"/>
  <c r="M47" i="4" s="1"/>
  <c r="K44" i="4"/>
  <c r="K45" i="4" s="1"/>
  <c r="K47" i="4" s="1"/>
  <c r="T33" i="4"/>
  <c r="S33" i="4"/>
  <c r="R33" i="4"/>
  <c r="Q33" i="4"/>
  <c r="P33" i="4"/>
  <c r="O33" i="4"/>
  <c r="N33" i="4"/>
  <c r="M33" i="4"/>
  <c r="L33" i="4" s="1"/>
  <c r="K33" i="4" s="1"/>
  <c r="J33" i="4" s="1"/>
  <c r="I33" i="4" s="1"/>
  <c r="H33" i="4" s="1"/>
  <c r="G33" i="4" s="1"/>
  <c r="F33" i="4" s="1"/>
  <c r="Q23" i="4"/>
  <c r="O23" i="4"/>
  <c r="N23" i="4"/>
  <c r="M23" i="4"/>
  <c r="R22" i="4"/>
  <c r="S22" i="4" s="1"/>
  <c r="T22" i="4" s="1"/>
  <c r="P22" i="4"/>
  <c r="R21" i="4"/>
  <c r="S21" i="4" s="1"/>
  <c r="T21" i="4" s="1"/>
  <c r="P21" i="4"/>
  <c r="R20" i="4"/>
  <c r="P20" i="4"/>
  <c r="F15" i="4"/>
  <c r="H23" i="4" s="1"/>
  <c r="P8" i="4"/>
  <c r="Q8" i="4" s="1"/>
  <c r="R8" i="4" s="1"/>
  <c r="S8" i="4" s="1"/>
  <c r="T8" i="4" s="1"/>
  <c r="P7" i="4"/>
  <c r="Q7" i="4" s="1"/>
  <c r="R7" i="4" s="1"/>
  <c r="S7" i="4" s="1"/>
  <c r="T7" i="4" s="1"/>
  <c r="P6" i="4"/>
  <c r="Q6" i="4" s="1"/>
  <c r="R6" i="4" s="1"/>
  <c r="S6" i="4" s="1"/>
  <c r="T6" i="4" s="1"/>
  <c r="I365" i="4" l="1"/>
  <c r="R23" i="4"/>
  <c r="F79" i="4"/>
  <c r="C27" i="1"/>
  <c r="C28" i="1" s="1"/>
  <c r="R131" i="4"/>
  <c r="R237" i="4" s="1"/>
  <c r="L330" i="4"/>
  <c r="I336" i="4"/>
  <c r="I340" i="4"/>
  <c r="N251" i="4"/>
  <c r="N332" i="4"/>
  <c r="I343" i="4"/>
  <c r="I347" i="4"/>
  <c r="I359" i="4"/>
  <c r="I363" i="4"/>
  <c r="I373" i="4"/>
  <c r="L192" i="4"/>
  <c r="N238" i="4"/>
  <c r="I331" i="4"/>
  <c r="N220" i="4"/>
  <c r="R262" i="4"/>
  <c r="L331" i="4"/>
  <c r="I356" i="4"/>
  <c r="I364" i="4"/>
  <c r="I330" i="4"/>
  <c r="N331" i="4"/>
  <c r="L333" i="4"/>
  <c r="B27" i="1"/>
  <c r="B28" i="1" s="1"/>
  <c r="B32" i="1" s="1"/>
  <c r="B33" i="1" s="1"/>
  <c r="S20" i="4"/>
  <c r="T20" i="4" s="1"/>
  <c r="T23" i="4" s="1"/>
  <c r="H47" i="4"/>
  <c r="M237" i="4"/>
  <c r="S136" i="4"/>
  <c r="M309" i="4"/>
  <c r="I350" i="4"/>
  <c r="I371" i="4"/>
  <c r="I374" i="4"/>
  <c r="P23" i="4"/>
  <c r="J47" i="4"/>
  <c r="F74" i="4"/>
  <c r="L206" i="4"/>
  <c r="R263" i="4"/>
  <c r="S175" i="4"/>
  <c r="T175" i="4" s="1"/>
  <c r="I367" i="4"/>
  <c r="P47" i="4"/>
  <c r="L309" i="4"/>
  <c r="N333" i="4"/>
  <c r="U47" i="4"/>
  <c r="R116" i="4"/>
  <c r="R224" i="4" s="1"/>
  <c r="L207" i="4"/>
  <c r="L127" i="4"/>
  <c r="L220" i="4" s="1"/>
  <c r="S129" i="4"/>
  <c r="T129" i="4" s="1"/>
  <c r="T235" i="4" s="1"/>
  <c r="I329" i="4"/>
  <c r="I344" i="4"/>
  <c r="I348" i="4"/>
  <c r="Q47" i="4"/>
  <c r="R193" i="4"/>
  <c r="L236" i="4"/>
  <c r="I326" i="4"/>
  <c r="I342" i="4"/>
  <c r="I360" i="4"/>
  <c r="I366" i="4"/>
  <c r="I370" i="4"/>
  <c r="G47" i="4"/>
  <c r="L237" i="4"/>
  <c r="L249" i="4"/>
  <c r="K310" i="4"/>
  <c r="I333" i="4"/>
  <c r="L259" i="4"/>
  <c r="L255" i="4"/>
  <c r="L243" i="4"/>
  <c r="L227" i="4"/>
  <c r="L258" i="4"/>
  <c r="L254" i="4"/>
  <c r="L246" i="4"/>
  <c r="L242" i="4"/>
  <c r="L226" i="4"/>
  <c r="L222" i="4"/>
  <c r="L257" i="4"/>
  <c r="L253" i="4"/>
  <c r="L245" i="4"/>
  <c r="L241" i="4"/>
  <c r="L225" i="4"/>
  <c r="L256" i="4"/>
  <c r="L244" i="4"/>
  <c r="L240" i="4"/>
  <c r="L228" i="4"/>
  <c r="L224" i="4"/>
  <c r="L213" i="4"/>
  <c r="L209" i="4"/>
  <c r="L205" i="4"/>
  <c r="L201" i="4"/>
  <c r="L197" i="4"/>
  <c r="L223" i="4"/>
  <c r="L212" i="4"/>
  <c r="L200" i="4"/>
  <c r="L196" i="4"/>
  <c r="L219" i="4"/>
  <c r="L215" i="4"/>
  <c r="L211" i="4"/>
  <c r="L199" i="4"/>
  <c r="L195" i="4"/>
  <c r="L191" i="4"/>
  <c r="L214" i="4"/>
  <c r="L210" i="4"/>
  <c r="L198" i="4"/>
  <c r="T118" i="4"/>
  <c r="T116" i="4" s="1"/>
  <c r="S116" i="4"/>
  <c r="F77" i="4"/>
  <c r="L247" i="4"/>
  <c r="L239" i="4"/>
  <c r="L234" i="4"/>
  <c r="L230" i="4"/>
  <c r="L261" i="4"/>
  <c r="L233" i="4"/>
  <c r="L229" i="4"/>
  <c r="L221" i="4"/>
  <c r="L217" i="4"/>
  <c r="L260" i="4"/>
  <c r="L252" i="4"/>
  <c r="L248" i="4"/>
  <c r="L232" i="4"/>
  <c r="L216" i="4"/>
  <c r="L208" i="4"/>
  <c r="L204" i="4"/>
  <c r="L218" i="4"/>
  <c r="L203" i="4"/>
  <c r="L202" i="4"/>
  <c r="L194" i="4"/>
  <c r="L190" i="4"/>
  <c r="R260" i="4"/>
  <c r="R252" i="4"/>
  <c r="R248" i="4"/>
  <c r="R232" i="4"/>
  <c r="R247" i="4"/>
  <c r="R239" i="4"/>
  <c r="R234" i="4"/>
  <c r="R230" i="4"/>
  <c r="R218" i="4"/>
  <c r="R261" i="4"/>
  <c r="R233" i="4"/>
  <c r="R229" i="4"/>
  <c r="R221" i="4"/>
  <c r="R217" i="4"/>
  <c r="R202" i="4"/>
  <c r="R194" i="4"/>
  <c r="R190" i="4"/>
  <c r="R208" i="4"/>
  <c r="R204" i="4"/>
  <c r="R216" i="4"/>
  <c r="R203" i="4"/>
  <c r="M247" i="4"/>
  <c r="M239" i="4"/>
  <c r="M232" i="4"/>
  <c r="M208" i="4"/>
  <c r="M204" i="4"/>
  <c r="M260" i="4"/>
  <c r="M252" i="4"/>
  <c r="M229" i="4"/>
  <c r="M216" i="4"/>
  <c r="M248" i="4"/>
  <c r="M218" i="4"/>
  <c r="M217" i="4"/>
  <c r="M233" i="4"/>
  <c r="M261" i="4"/>
  <c r="N258" i="4"/>
  <c r="N254" i="4"/>
  <c r="N246" i="4"/>
  <c r="N242" i="4"/>
  <c r="N226" i="4"/>
  <c r="N257" i="4"/>
  <c r="N253" i="4"/>
  <c r="N245" i="4"/>
  <c r="N241" i="4"/>
  <c r="N225" i="4"/>
  <c r="N256" i="4"/>
  <c r="N244" i="4"/>
  <c r="N240" i="4"/>
  <c r="N228" i="4"/>
  <c r="N224" i="4"/>
  <c r="N259" i="4"/>
  <c r="N255" i="4"/>
  <c r="N243" i="4"/>
  <c r="N227" i="4"/>
  <c r="N223" i="4"/>
  <c r="N219" i="4"/>
  <c r="N212" i="4"/>
  <c r="N200" i="4"/>
  <c r="N196" i="4"/>
  <c r="N215" i="4"/>
  <c r="N211" i="4"/>
  <c r="N199" i="4"/>
  <c r="N195" i="4"/>
  <c r="N191" i="4"/>
  <c r="N214" i="4"/>
  <c r="N210" i="4"/>
  <c r="N198" i="4"/>
  <c r="N222" i="4"/>
  <c r="N213" i="4"/>
  <c r="N209" i="4"/>
  <c r="N205" i="4"/>
  <c r="N201" i="4"/>
  <c r="N197" i="4"/>
  <c r="R220" i="4"/>
  <c r="X127" i="4"/>
  <c r="R249" i="4"/>
  <c r="S133" i="4"/>
  <c r="Q190" i="4"/>
  <c r="Q194" i="4"/>
  <c r="M196" i="4"/>
  <c r="Q208" i="4"/>
  <c r="Q211" i="4"/>
  <c r="Q226" i="4"/>
  <c r="M230" i="4"/>
  <c r="Q232" i="4"/>
  <c r="R44" i="4"/>
  <c r="R292" i="4"/>
  <c r="J292" i="4"/>
  <c r="T291" i="4"/>
  <c r="K291" i="4"/>
  <c r="L290" i="4"/>
  <c r="F289" i="4"/>
  <c r="O288" i="4"/>
  <c r="G288" i="4"/>
  <c r="P287" i="4"/>
  <c r="H287" i="4"/>
  <c r="R286" i="4"/>
  <c r="J286" i="4"/>
  <c r="T285" i="4"/>
  <c r="K285" i="4"/>
  <c r="L284" i="4"/>
  <c r="Q292" i="4"/>
  <c r="I292" i="4"/>
  <c r="R291" i="4"/>
  <c r="J291" i="4"/>
  <c r="T290" i="4"/>
  <c r="K290" i="4"/>
  <c r="N288" i="4"/>
  <c r="F288" i="4"/>
  <c r="O287" i="4"/>
  <c r="G287" i="4"/>
  <c r="Q286" i="4"/>
  <c r="I286" i="4"/>
  <c r="R285" i="4"/>
  <c r="J285" i="4"/>
  <c r="T284" i="4"/>
  <c r="K284" i="4"/>
  <c r="L283" i="4"/>
  <c r="P292" i="4"/>
  <c r="H292" i="4"/>
  <c r="Q291" i="4"/>
  <c r="I291" i="4"/>
  <c r="R290" i="4"/>
  <c r="J290" i="4"/>
  <c r="M288" i="4"/>
  <c r="N287" i="4"/>
  <c r="F287" i="4"/>
  <c r="P286" i="4"/>
  <c r="H286" i="4"/>
  <c r="Q285" i="4"/>
  <c r="I285" i="4"/>
  <c r="R284" i="4"/>
  <c r="J284" i="4"/>
  <c r="T283" i="4"/>
  <c r="K283" i="4"/>
  <c r="O292" i="4"/>
  <c r="G292" i="4"/>
  <c r="P291" i="4"/>
  <c r="H291" i="4"/>
  <c r="Q290" i="4"/>
  <c r="I290" i="4"/>
  <c r="T289" i="4"/>
  <c r="L288" i="4"/>
  <c r="M287" i="4"/>
  <c r="O286" i="4"/>
  <c r="G286" i="4"/>
  <c r="P285" i="4"/>
  <c r="H285" i="4"/>
  <c r="Q284" i="4"/>
  <c r="I284" i="4"/>
  <c r="R283" i="4"/>
  <c r="J283" i="4"/>
  <c r="F292" i="4"/>
  <c r="O291" i="4"/>
  <c r="G291" i="4"/>
  <c r="P290" i="4"/>
  <c r="H290" i="4"/>
  <c r="R289" i="4"/>
  <c r="J289" i="4"/>
  <c r="T288" i="4"/>
  <c r="K288" i="4"/>
  <c r="L287" i="4"/>
  <c r="F286" i="4"/>
  <c r="O285" i="4"/>
  <c r="G285" i="4"/>
  <c r="P284" i="4"/>
  <c r="H284" i="4"/>
  <c r="Q283" i="4"/>
  <c r="I283" i="4"/>
  <c r="N291" i="4"/>
  <c r="F291" i="4"/>
  <c r="O290" i="4"/>
  <c r="G290" i="4"/>
  <c r="Q289" i="4"/>
  <c r="I289" i="4"/>
  <c r="R288" i="4"/>
  <c r="J288" i="4"/>
  <c r="T287" i="4"/>
  <c r="K287" i="4"/>
  <c r="N285" i="4"/>
  <c r="F285" i="4"/>
  <c r="O284" i="4"/>
  <c r="G284" i="4"/>
  <c r="P283" i="4"/>
  <c r="H283" i="4"/>
  <c r="M291" i="4"/>
  <c r="F290" i="4"/>
  <c r="P289" i="4"/>
  <c r="H289" i="4"/>
  <c r="Q288" i="4"/>
  <c r="I288" i="4"/>
  <c r="R287" i="4"/>
  <c r="J287" i="4"/>
  <c r="M285" i="4"/>
  <c r="F284" i="4"/>
  <c r="O283" i="4"/>
  <c r="G283" i="4"/>
  <c r="T292" i="4"/>
  <c r="L291" i="4"/>
  <c r="O289" i="4"/>
  <c r="G289" i="4"/>
  <c r="P288" i="4"/>
  <c r="H288" i="4"/>
  <c r="Q287" i="4"/>
  <c r="I287" i="4"/>
  <c r="T286" i="4"/>
  <c r="L285" i="4"/>
  <c r="F283" i="4"/>
  <c r="N234" i="4"/>
  <c r="N230" i="4"/>
  <c r="N261" i="4"/>
  <c r="N233" i="4"/>
  <c r="N229" i="4"/>
  <c r="N221" i="4"/>
  <c r="N260" i="4"/>
  <c r="N252" i="4"/>
  <c r="N248" i="4"/>
  <c r="N232" i="4"/>
  <c r="N216" i="4"/>
  <c r="N247" i="4"/>
  <c r="N239" i="4"/>
  <c r="N208" i="4"/>
  <c r="N204" i="4"/>
  <c r="N218" i="4"/>
  <c r="N217" i="4"/>
  <c r="N203" i="4"/>
  <c r="N202" i="4"/>
  <c r="N194" i="4"/>
  <c r="N190" i="4"/>
  <c r="O257" i="4"/>
  <c r="O242" i="4"/>
  <c r="O226" i="4"/>
  <c r="O245" i="4"/>
  <c r="O215" i="4"/>
  <c r="O211" i="4"/>
  <c r="O199" i="4"/>
  <c r="O255" i="4"/>
  <c r="O240" i="4"/>
  <c r="O224" i="4"/>
  <c r="O219" i="4"/>
  <c r="O258" i="4"/>
  <c r="O243" i="4"/>
  <c r="O227" i="4"/>
  <c r="O214" i="4"/>
  <c r="O210" i="4"/>
  <c r="O253" i="4"/>
  <c r="O246" i="4"/>
  <c r="O256" i="4"/>
  <c r="O241" i="4"/>
  <c r="O259" i="4"/>
  <c r="O244" i="4"/>
  <c r="O228" i="4"/>
  <c r="S123" i="4"/>
  <c r="S127" i="4"/>
  <c r="O196" i="4"/>
  <c r="M198" i="4"/>
  <c r="O200" i="4"/>
  <c r="M202" i="4"/>
  <c r="M214" i="4"/>
  <c r="M244" i="4"/>
  <c r="J23" i="4"/>
  <c r="K23" i="4"/>
  <c r="L45" i="4"/>
  <c r="L47" i="4" s="1"/>
  <c r="O232" i="4"/>
  <c r="O260" i="4"/>
  <c r="O252" i="4"/>
  <c r="O229" i="4"/>
  <c r="O218" i="4"/>
  <c r="O217" i="4"/>
  <c r="O216" i="4"/>
  <c r="O203" i="4"/>
  <c r="O248" i="4"/>
  <c r="O233" i="4"/>
  <c r="O230" i="4"/>
  <c r="O221" i="4"/>
  <c r="O261" i="4"/>
  <c r="O234" i="4"/>
  <c r="P257" i="4"/>
  <c r="P253" i="4"/>
  <c r="P245" i="4"/>
  <c r="P241" i="4"/>
  <c r="P225" i="4"/>
  <c r="P256" i="4"/>
  <c r="P244" i="4"/>
  <c r="P240" i="4"/>
  <c r="P228" i="4"/>
  <c r="P224" i="4"/>
  <c r="P259" i="4"/>
  <c r="P255" i="4"/>
  <c r="P243" i="4"/>
  <c r="P227" i="4"/>
  <c r="P223" i="4"/>
  <c r="P219" i="4"/>
  <c r="P258" i="4"/>
  <c r="P254" i="4"/>
  <c r="P246" i="4"/>
  <c r="P242" i="4"/>
  <c r="P226" i="4"/>
  <c r="P222" i="4"/>
  <c r="P215" i="4"/>
  <c r="P211" i="4"/>
  <c r="P199" i="4"/>
  <c r="P195" i="4"/>
  <c r="P191" i="4"/>
  <c r="P214" i="4"/>
  <c r="P210" i="4"/>
  <c r="P198" i="4"/>
  <c r="P213" i="4"/>
  <c r="P209" i="4"/>
  <c r="P205" i="4"/>
  <c r="P201" i="4"/>
  <c r="P197" i="4"/>
  <c r="P212" i="4"/>
  <c r="P200" i="4"/>
  <c r="P196" i="4"/>
  <c r="S117" i="4"/>
  <c r="S119" i="4"/>
  <c r="Q196" i="4"/>
  <c r="O198" i="4"/>
  <c r="O202" i="4"/>
  <c r="Q204" i="4"/>
  <c r="M209" i="4"/>
  <c r="O223" i="4"/>
  <c r="O239" i="4"/>
  <c r="L23" i="4"/>
  <c r="F73" i="4"/>
  <c r="P261" i="4"/>
  <c r="P233" i="4"/>
  <c r="P229" i="4"/>
  <c r="P260" i="4"/>
  <c r="P252" i="4"/>
  <c r="P248" i="4"/>
  <c r="P232" i="4"/>
  <c r="P247" i="4"/>
  <c r="P239" i="4"/>
  <c r="P234" i="4"/>
  <c r="P230" i="4"/>
  <c r="P218" i="4"/>
  <c r="P217" i="4"/>
  <c r="P216" i="4"/>
  <c r="P203" i="4"/>
  <c r="P202" i="4"/>
  <c r="P194" i="4"/>
  <c r="P190" i="4"/>
  <c r="P221" i="4"/>
  <c r="P208" i="4"/>
  <c r="P204" i="4"/>
  <c r="Q245" i="4"/>
  <c r="Q255" i="4"/>
  <c r="Q240" i="4"/>
  <c r="Q224" i="4"/>
  <c r="Q219" i="4"/>
  <c r="Q214" i="4"/>
  <c r="Q210" i="4"/>
  <c r="Q198" i="4"/>
  <c r="Q258" i="4"/>
  <c r="Q243" i="4"/>
  <c r="Q227" i="4"/>
  <c r="Q253" i="4"/>
  <c r="Q246" i="4"/>
  <c r="Q213" i="4"/>
  <c r="Q209" i="4"/>
  <c r="Q256" i="4"/>
  <c r="Q241" i="4"/>
  <c r="Q225" i="4"/>
  <c r="Q222" i="4"/>
  <c r="Q259" i="4"/>
  <c r="Q244" i="4"/>
  <c r="Q254" i="4"/>
  <c r="Q223" i="4"/>
  <c r="Q257" i="4"/>
  <c r="S130" i="4"/>
  <c r="L132" i="4"/>
  <c r="L238" i="4" s="1"/>
  <c r="M238" i="4"/>
  <c r="R250" i="4"/>
  <c r="S134" i="4"/>
  <c r="S262" i="4"/>
  <c r="T136" i="4"/>
  <c r="T262" i="4" s="1"/>
  <c r="M191" i="4"/>
  <c r="M195" i="4"/>
  <c r="O209" i="4"/>
  <c r="O212" i="4"/>
  <c r="M228" i="4"/>
  <c r="M234" i="4"/>
  <c r="S235" i="4"/>
  <c r="O254" i="4"/>
  <c r="Q261" i="4"/>
  <c r="Q260" i="4"/>
  <c r="Q252" i="4"/>
  <c r="Q229" i="4"/>
  <c r="Q218" i="4"/>
  <c r="Q248" i="4"/>
  <c r="Q202" i="4"/>
  <c r="Q233" i="4"/>
  <c r="Q221" i="4"/>
  <c r="Q230" i="4"/>
  <c r="Q247" i="4"/>
  <c r="Q239" i="4"/>
  <c r="R244" i="4"/>
  <c r="R240" i="4"/>
  <c r="R228" i="4"/>
  <c r="R255" i="4"/>
  <c r="R243" i="4"/>
  <c r="R223" i="4"/>
  <c r="R258" i="4"/>
  <c r="R254" i="4"/>
  <c r="R226" i="4"/>
  <c r="R222" i="4"/>
  <c r="R253" i="4"/>
  <c r="R245" i="4"/>
  <c r="R241" i="4"/>
  <c r="R214" i="4"/>
  <c r="R210" i="4"/>
  <c r="R213" i="4"/>
  <c r="R209" i="4"/>
  <c r="R205" i="4"/>
  <c r="R197" i="4"/>
  <c r="R212" i="4"/>
  <c r="R200" i="4"/>
  <c r="R215" i="4"/>
  <c r="R211" i="4"/>
  <c r="R199" i="4"/>
  <c r="R191" i="4"/>
  <c r="L193" i="4"/>
  <c r="S124" i="4"/>
  <c r="R207" i="4"/>
  <c r="O191" i="4"/>
  <c r="O195" i="4"/>
  <c r="Q212" i="4"/>
  <c r="Q215" i="4"/>
  <c r="Q228" i="4"/>
  <c r="Q234" i="4"/>
  <c r="F23" i="4"/>
  <c r="S128" i="4"/>
  <c r="R238" i="4"/>
  <c r="S132" i="4"/>
  <c r="M251" i="4"/>
  <c r="L135" i="4"/>
  <c r="L251" i="4" s="1"/>
  <c r="Q191" i="4"/>
  <c r="Q195" i="4"/>
  <c r="M197" i="4"/>
  <c r="M199" i="4"/>
  <c r="M201" i="4"/>
  <c r="M203" i="4"/>
  <c r="M205" i="4"/>
  <c r="M210" i="4"/>
  <c r="M221" i="4"/>
  <c r="I23" i="4"/>
  <c r="G23" i="4"/>
  <c r="I312" i="4"/>
  <c r="H312" i="4"/>
  <c r="S120" i="4"/>
  <c r="S263" i="4"/>
  <c r="T137" i="4"/>
  <c r="T263" i="4" s="1"/>
  <c r="M190" i="4"/>
  <c r="M194" i="4"/>
  <c r="O197" i="4"/>
  <c r="Q199" i="4"/>
  <c r="O201" i="4"/>
  <c r="Q203" i="4"/>
  <c r="O205" i="4"/>
  <c r="O225" i="4"/>
  <c r="Q242" i="4"/>
  <c r="O247" i="4"/>
  <c r="M254" i="4"/>
  <c r="M223" i="4"/>
  <c r="M257" i="4"/>
  <c r="M242" i="4"/>
  <c r="M226" i="4"/>
  <c r="M212" i="4"/>
  <c r="M200" i="4"/>
  <c r="M245" i="4"/>
  <c r="M255" i="4"/>
  <c r="M240" i="4"/>
  <c r="M224" i="4"/>
  <c r="M219" i="4"/>
  <c r="M215" i="4"/>
  <c r="M211" i="4"/>
  <c r="M258" i="4"/>
  <c r="M243" i="4"/>
  <c r="M227" i="4"/>
  <c r="M253" i="4"/>
  <c r="M246" i="4"/>
  <c r="M256" i="4"/>
  <c r="M241" i="4"/>
  <c r="M225" i="4"/>
  <c r="M259" i="4"/>
  <c r="R135" i="4"/>
  <c r="Q251" i="4"/>
  <c r="O190" i="4"/>
  <c r="O194" i="4"/>
  <c r="Q197" i="4"/>
  <c r="Q201" i="4"/>
  <c r="Q205" i="4"/>
  <c r="O208" i="4"/>
  <c r="O213" i="4"/>
  <c r="Q216" i="4"/>
  <c r="M222" i="4"/>
  <c r="M283" i="4"/>
  <c r="AC283" i="4"/>
  <c r="N283" i="4" s="1"/>
  <c r="G354" i="4"/>
  <c r="I354" i="4" s="1"/>
  <c r="I353" i="4"/>
  <c r="AC284" i="4"/>
  <c r="N284" i="4" s="1"/>
  <c r="M284" i="4"/>
  <c r="G376" i="4"/>
  <c r="G377" i="4" s="1"/>
  <c r="I377" i="4" s="1"/>
  <c r="I375" i="4"/>
  <c r="K292" i="4"/>
  <c r="AC292" i="4"/>
  <c r="N292" i="4" s="1"/>
  <c r="M292" i="4"/>
  <c r="G312" i="4"/>
  <c r="J312" i="4" s="1"/>
  <c r="K286" i="4"/>
  <c r="K289" i="4"/>
  <c r="AC286" i="4"/>
  <c r="N286" i="4" s="1"/>
  <c r="M286" i="4"/>
  <c r="M289" i="4"/>
  <c r="AC289" i="4"/>
  <c r="N289" i="4" s="1"/>
  <c r="AC290" i="4"/>
  <c r="N290" i="4" s="1"/>
  <c r="M290" i="4"/>
  <c r="I352" i="4"/>
  <c r="N330" i="4"/>
  <c r="L286" i="4"/>
  <c r="L292" i="4"/>
  <c r="J310" i="4"/>
  <c r="M310" i="4" s="1"/>
  <c r="K311" i="4"/>
  <c r="M311" i="4" s="1"/>
  <c r="L289" i="4"/>
  <c r="S131" i="4" l="1"/>
  <c r="S23" i="4"/>
  <c r="R196" i="4"/>
  <c r="R198" i="4"/>
  <c r="R257" i="4"/>
  <c r="R227" i="4"/>
  <c r="R256" i="4"/>
  <c r="R219" i="4"/>
  <c r="R242" i="4"/>
  <c r="R259" i="4"/>
  <c r="R195" i="4"/>
  <c r="R201" i="4"/>
  <c r="R225" i="4"/>
  <c r="R246" i="4"/>
  <c r="R251" i="4"/>
  <c r="S135" i="4"/>
  <c r="L312" i="4"/>
  <c r="K312" i="4"/>
  <c r="M312" i="4" s="1"/>
  <c r="S255" i="4"/>
  <c r="S240" i="4"/>
  <c r="S224" i="4"/>
  <c r="S258" i="4"/>
  <c r="S243" i="4"/>
  <c r="S227" i="4"/>
  <c r="S213" i="4"/>
  <c r="S209" i="4"/>
  <c r="S205" i="4"/>
  <c r="S201" i="4"/>
  <c r="S197" i="4"/>
  <c r="S253" i="4"/>
  <c r="S246" i="4"/>
  <c r="S256" i="4"/>
  <c r="S241" i="4"/>
  <c r="S225" i="4"/>
  <c r="S222" i="4"/>
  <c r="S212" i="4"/>
  <c r="S259" i="4"/>
  <c r="S244" i="4"/>
  <c r="S228" i="4"/>
  <c r="S254" i="4"/>
  <c r="S257" i="4"/>
  <c r="S242" i="4"/>
  <c r="S226" i="4"/>
  <c r="S199" i="4"/>
  <c r="S219" i="4"/>
  <c r="S210" i="4"/>
  <c r="S195" i="4"/>
  <c r="S191" i="4"/>
  <c r="S215" i="4"/>
  <c r="S245" i="4"/>
  <c r="S223" i="4"/>
  <c r="S200" i="4"/>
  <c r="S198" i="4"/>
  <c r="S196" i="4"/>
  <c r="S214" i="4"/>
  <c r="S211" i="4"/>
  <c r="T130" i="4"/>
  <c r="T236" i="4" s="1"/>
  <c r="S236" i="4"/>
  <c r="S192" i="4"/>
  <c r="T119" i="4"/>
  <c r="T192" i="4" s="1"/>
  <c r="S237" i="4"/>
  <c r="T131" i="4"/>
  <c r="T237" i="4" s="1"/>
  <c r="T259" i="4"/>
  <c r="T255" i="4"/>
  <c r="T243" i="4"/>
  <c r="T227" i="4"/>
  <c r="T223" i="4"/>
  <c r="T258" i="4"/>
  <c r="T254" i="4"/>
  <c r="T246" i="4"/>
  <c r="T242" i="4"/>
  <c r="T226" i="4"/>
  <c r="T222" i="4"/>
  <c r="T257" i="4"/>
  <c r="T253" i="4"/>
  <c r="T245" i="4"/>
  <c r="T241" i="4"/>
  <c r="T225" i="4"/>
  <c r="T256" i="4"/>
  <c r="T244" i="4"/>
  <c r="T240" i="4"/>
  <c r="T228" i="4"/>
  <c r="T224" i="4"/>
  <c r="T213" i="4"/>
  <c r="T209" i="4"/>
  <c r="T205" i="4"/>
  <c r="T201" i="4"/>
  <c r="T197" i="4"/>
  <c r="T212" i="4"/>
  <c r="T200" i="4"/>
  <c r="T196" i="4"/>
  <c r="T215" i="4"/>
  <c r="T211" i="4"/>
  <c r="T199" i="4"/>
  <c r="T195" i="4"/>
  <c r="T191" i="4"/>
  <c r="T219" i="4"/>
  <c r="T214" i="4"/>
  <c r="T210" i="4"/>
  <c r="T198" i="4"/>
  <c r="S238" i="4"/>
  <c r="T132" i="4"/>
  <c r="T238" i="4" s="1"/>
  <c r="S115" i="4"/>
  <c r="T117" i="4"/>
  <c r="T115" i="4" s="1"/>
  <c r="S220" i="4"/>
  <c r="T127" i="4"/>
  <c r="T220" i="4" s="1"/>
  <c r="S44" i="4"/>
  <c r="R45" i="4"/>
  <c r="R47" i="4" s="1"/>
  <c r="S206" i="4"/>
  <c r="T123" i="4"/>
  <c r="T206" i="4" s="1"/>
  <c r="S249" i="4"/>
  <c r="T133" i="4"/>
  <c r="T249" i="4" s="1"/>
  <c r="S231" i="4"/>
  <c r="T128" i="4"/>
  <c r="T231" i="4" s="1"/>
  <c r="S250" i="4"/>
  <c r="T134" i="4"/>
  <c r="T250" i="4" s="1"/>
  <c r="I376" i="4"/>
  <c r="T120" i="4"/>
  <c r="T193" i="4" s="1"/>
  <c r="S193" i="4"/>
  <c r="S207" i="4"/>
  <c r="T124" i="4"/>
  <c r="T207" i="4" s="1"/>
  <c r="S260" i="4" l="1"/>
  <c r="S261" i="4"/>
  <c r="S248" i="4"/>
  <c r="S233" i="4"/>
  <c r="S221" i="4"/>
  <c r="S230" i="4"/>
  <c r="S208" i="4"/>
  <c r="S234" i="4"/>
  <c r="S247" i="4"/>
  <c r="S239" i="4"/>
  <c r="S232" i="4"/>
  <c r="S217" i="4"/>
  <c r="S203" i="4"/>
  <c r="S229" i="4"/>
  <c r="S218" i="4"/>
  <c r="S204" i="4"/>
  <c r="S202" i="4"/>
  <c r="S194" i="4"/>
  <c r="S190" i="4"/>
  <c r="S252" i="4"/>
  <c r="S216" i="4"/>
  <c r="T135" i="4"/>
  <c r="T251" i="4" s="1"/>
  <c r="S251" i="4"/>
  <c r="T247" i="4"/>
  <c r="T239" i="4"/>
  <c r="T234" i="4"/>
  <c r="T230" i="4"/>
  <c r="T261" i="4"/>
  <c r="T233" i="4"/>
  <c r="T229" i="4"/>
  <c r="T221" i="4"/>
  <c r="T217" i="4"/>
  <c r="T260" i="4"/>
  <c r="T252" i="4"/>
  <c r="T248" i="4"/>
  <c r="T232" i="4"/>
  <c r="T216" i="4"/>
  <c r="T208" i="4"/>
  <c r="T204" i="4"/>
  <c r="T203" i="4"/>
  <c r="T218" i="4"/>
  <c r="T202" i="4"/>
  <c r="T194" i="4"/>
  <c r="T190" i="4"/>
  <c r="T44" i="4"/>
  <c r="T45" i="4" s="1"/>
  <c r="T47" i="4" s="1"/>
  <c r="S45" i="4"/>
  <c r="S47" i="4" s="1"/>
</calcChain>
</file>

<file path=xl/comments1.xml><?xml version="1.0" encoding="utf-8"?>
<comments xmlns="http://schemas.openxmlformats.org/spreadsheetml/2006/main">
  <authors>
    <author>Lloyd Lee</author>
    <author>Leslie Ng</author>
    <author>Lee, Lloyd</author>
    <author>Matt Horne</author>
  </authors>
  <commentList>
    <comment ref="P19" authorId="0" shapeId="0">
      <text>
        <r>
          <rPr>
            <b/>
            <sz val="9"/>
            <color indexed="81"/>
            <rFont val="Tahoma"/>
            <family val="2"/>
          </rPr>
          <t>Lloyd Lee:</t>
        </r>
        <r>
          <rPr>
            <sz val="9"/>
            <color indexed="81"/>
            <rFont val="Tahoma"/>
            <family val="2"/>
          </rPr>
          <t xml:space="preserve">
Guidance is moving to 2-year renewal cycle. 2015 numbers remain at 2014 levels.</t>
        </r>
      </text>
    </comment>
    <comment ref="P28" authorId="0" shapeId="0">
      <text>
        <r>
          <rPr>
            <b/>
            <sz val="9"/>
            <color indexed="81"/>
            <rFont val="Tahoma"/>
            <family val="2"/>
          </rPr>
          <t>Lloyd Lee:</t>
        </r>
        <r>
          <rPr>
            <sz val="9"/>
            <color indexed="81"/>
            <rFont val="Tahoma"/>
            <family val="2"/>
          </rPr>
          <t xml:space="preserve">
Guidance is moving to 2-year renewal cycle. 2015 numbers remain at 2014 levels.</t>
        </r>
      </text>
    </comment>
    <comment ref="B37" authorId="0" shapeId="0">
      <text>
        <r>
          <rPr>
            <b/>
            <sz val="9"/>
            <color indexed="81"/>
            <rFont val="Tahoma"/>
            <family val="2"/>
          </rPr>
          <t>Lloyd Lee:</t>
        </r>
        <r>
          <rPr>
            <sz val="9"/>
            <color indexed="81"/>
            <rFont val="Tahoma"/>
            <family val="2"/>
          </rPr>
          <t xml:space="preserve">
Jan 16, 2012 - new carbon intensities - http://www.bchydro.com/about/accountability_reports/2011_gri/f2011_environmental/f2011_environmental_EN16_2.html
Jan 2014: https://www.bchydro.com/content/dam/BCHydro/customer-portal/documents/corporate/environment-sustainability/environmental-reports/GHG-intensities-2004-2012.pdf
Jan 2014: revised to be in alignment with BC Protocol guidance: http://www.env.gov.bc.ca/cas/mitigation/pdfs/BC-Best-Practices-Methodology-for-Quantifying-Greenhouse-Gas-Emissions.pdf
Jan 2015: revised per BC Protocol guidance: http://www2.gov.bc.ca/gov/DownloadAsset?assetId=2C760EFB106A41AD9E0C3579EC6FE4B6&amp;filename=2014_best_practices_methodology_for_quantifying_greenhouse_gas_emissions.pdf and https://www.bchydro.com/content/dam/BCHydro/customer-portal/documents/corporate/environment-sustainability/environmental-reports/ghg-intensities-2004-2013.pdf
Sep 2015: revised 2014 total elec generation number per Hydro published EF: https://www.bchydro.com/content/dam/BCHydro/customer-portal/documents/corporate/environment-sustainability/environmental-reports/ghg-intensities-2004-2014.pdf
Sep 2016: added breakdown by GHG from 2015 National Inventory Report, Table A11-11 </t>
        </r>
      </text>
    </comment>
    <comment ref="K44" authorId="1" shapeId="0">
      <text>
        <r>
          <rPr>
            <b/>
            <sz val="8"/>
            <color indexed="81"/>
            <rFont val="Tahoma"/>
            <family val="2"/>
          </rPr>
          <t>Leslie Ng:</t>
        </r>
        <r>
          <rPr>
            <sz val="8"/>
            <color indexed="81"/>
            <rFont val="Tahoma"/>
            <family val="2"/>
          </rPr>
          <t xml:space="preserve">
should really be 23 according to BC Hydro. But BC Government toolkit for CARIP says it should be 25
</t>
        </r>
        <r>
          <rPr>
            <b/>
            <sz val="8"/>
            <color indexed="81"/>
            <rFont val="Tahoma"/>
            <family val="2"/>
          </rPr>
          <t xml:space="preserve">Lloyd Lee: </t>
        </r>
        <r>
          <rPr>
            <sz val="8"/>
            <color indexed="81"/>
            <rFont val="Tahoma"/>
            <family val="2"/>
          </rPr>
          <t xml:space="preserve">
Correction: BC Gov Toolkit will update this every year based on rolling average of three previous years. 
</t>
        </r>
      </text>
    </comment>
    <comment ref="M44" authorId="0" shapeId="0">
      <text>
        <r>
          <rPr>
            <b/>
            <sz val="8"/>
            <color indexed="81"/>
            <rFont val="Tahoma"/>
            <family val="2"/>
          </rPr>
          <t>Lloyd Lee:</t>
        </r>
        <r>
          <rPr>
            <sz val="8"/>
            <color indexed="81"/>
            <rFont val="Tahoma"/>
            <family val="2"/>
          </rPr>
          <t xml:space="preserve">
2-year lag on rolling average due to Hydro GRI public reporting (Ken Porter email to Lloyd Lee Jan 28, 2014)</t>
        </r>
      </text>
    </comment>
    <comment ref="N44" authorId="0" shapeId="0">
      <text>
        <r>
          <rPr>
            <b/>
            <sz val="8"/>
            <color indexed="81"/>
            <rFont val="Tahoma"/>
            <family val="2"/>
          </rPr>
          <t>Lloyd Lee:</t>
        </r>
        <r>
          <rPr>
            <sz val="8"/>
            <color indexed="81"/>
            <rFont val="Tahoma"/>
            <family val="2"/>
          </rPr>
          <t xml:space="preserve">
Switch to one-year lag on three-year average calc. CAS wanted to incorporate latest avail data from BC Hydro. (Ken Porter email to Lloyd Lee Jan 28, 2014)</t>
        </r>
      </text>
    </comment>
    <comment ref="P44" authorId="0" shapeId="0">
      <text>
        <r>
          <rPr>
            <b/>
            <sz val="9"/>
            <color indexed="81"/>
            <rFont val="Tahoma"/>
            <family val="2"/>
          </rPr>
          <t>Lloyd Lee:</t>
        </r>
        <r>
          <rPr>
            <sz val="9"/>
            <color indexed="81"/>
            <rFont val="Tahoma"/>
            <family val="2"/>
          </rPr>
          <t xml:space="preserve">
BC Guidance shifted to two-year update cycle. 2014 Guidance stands for 2015.</t>
        </r>
      </text>
    </comment>
    <comment ref="Q44" authorId="0" shapeId="0">
      <text>
        <r>
          <rPr>
            <b/>
            <sz val="9"/>
            <color indexed="81"/>
            <rFont val="Tahoma"/>
            <family val="2"/>
          </rPr>
          <t>Lloyd Lee:</t>
        </r>
        <r>
          <rPr>
            <sz val="9"/>
            <color indexed="81"/>
            <rFont val="Tahoma"/>
            <family val="2"/>
          </rPr>
          <t xml:space="preserve">
BC Guidance shifted to two-year update cycle. 2016-2017 Guidance released in mid-2016, too late for 2015 inventory. Note shift back to 3-yr rolling avg of BC Hydro EFs with 2-year lag (i.e., 2014 latest EF for 2016 rolling-avg EF). See 2016-2017 Guidance, page 14, footnote 28.</t>
        </r>
      </text>
    </comment>
    <comment ref="H56" authorId="0" shapeId="0">
      <text>
        <r>
          <rPr>
            <b/>
            <sz val="9"/>
            <color indexed="81"/>
            <rFont val="Tahoma"/>
            <family val="2"/>
          </rPr>
          <t>Lloyd Lee:</t>
        </r>
        <r>
          <rPr>
            <sz val="9"/>
            <color indexed="81"/>
            <rFont val="Tahoma"/>
            <family val="2"/>
          </rPr>
          <t xml:space="preserve">
April 2020: Updated to harmonize with REFM default factor. 
Previously 0.001055 GJ/lb, per ISO conversion of 1mbtu/lb water to GJ (1055btu = 1J): see http://www.think-energy.net/energy_units.htm</t>
        </r>
      </text>
    </comment>
    <comment ref="P97" authorId="0" shapeId="0">
      <text>
        <r>
          <rPr>
            <b/>
            <sz val="9"/>
            <color indexed="81"/>
            <rFont val="Tahoma"/>
            <family val="2"/>
          </rPr>
          <t>Lloyd Lee:</t>
        </r>
        <r>
          <rPr>
            <sz val="9"/>
            <color indexed="81"/>
            <rFont val="Tahoma"/>
            <family val="2"/>
          </rPr>
          <t xml:space="preserve">
2014 Guidance holds for 2015. Protocol update cycle lengthened to biannual.</t>
        </r>
      </text>
    </comment>
    <comment ref="Q97" authorId="0" shapeId="0">
      <text>
        <r>
          <rPr>
            <b/>
            <sz val="9"/>
            <color indexed="81"/>
            <rFont val="Tahoma"/>
            <family val="2"/>
          </rPr>
          <t>Lloyd Lee:</t>
        </r>
        <r>
          <rPr>
            <sz val="9"/>
            <color indexed="81"/>
            <rFont val="Tahoma"/>
            <family val="2"/>
          </rPr>
          <t xml:space="preserve">
Beginning 2016: Protocol update cycle lengthened to biannual. Using 2016-2017 Guidance</t>
        </r>
      </text>
    </comment>
    <comment ref="R97" authorId="0" shapeId="0">
      <text>
        <r>
          <rPr>
            <b/>
            <sz val="9"/>
            <color indexed="81"/>
            <rFont val="Tahoma"/>
            <family val="2"/>
          </rPr>
          <t>Lloyd Lee:</t>
        </r>
        <r>
          <rPr>
            <sz val="9"/>
            <color indexed="81"/>
            <rFont val="Tahoma"/>
            <family val="2"/>
          </rPr>
          <t xml:space="preserve">
Beginning 2016: Protocol update cycle lengthened to biannual. Using 2016-2017 Guidance</t>
        </r>
      </text>
    </comment>
    <comment ref="S97" authorId="2" shapeId="0">
      <text>
        <r>
          <rPr>
            <b/>
            <sz val="9"/>
            <color indexed="81"/>
            <rFont val="Tahoma"/>
            <family val="2"/>
          </rPr>
          <t>Lee, Lloyd:</t>
        </r>
        <r>
          <rPr>
            <sz val="9"/>
            <color indexed="81"/>
            <rFont val="Tahoma"/>
            <family val="2"/>
          </rPr>
          <t xml:space="preserve">
2016-2017 Guidance extended to 2018</t>
        </r>
      </text>
    </comment>
    <comment ref="T97" authorId="0" shapeId="0">
      <text>
        <r>
          <rPr>
            <b/>
            <sz val="9"/>
            <color indexed="81"/>
            <rFont val="Tahoma"/>
            <family val="2"/>
          </rPr>
          <t>Lloyd Lee:</t>
        </r>
        <r>
          <rPr>
            <sz val="9"/>
            <color indexed="81"/>
            <rFont val="Tahoma"/>
            <family val="2"/>
          </rPr>
          <t xml:space="preserve">
Need to confirm Guidance update or not in 2019</t>
        </r>
      </text>
    </comment>
    <comment ref="T100" authorId="0" shapeId="0">
      <text>
        <r>
          <rPr>
            <b/>
            <sz val="9"/>
            <color indexed="81"/>
            <rFont val="Tahoma"/>
            <family val="2"/>
          </rPr>
          <t>Lloyd Lee:</t>
        </r>
        <r>
          <rPr>
            <sz val="9"/>
            <color indexed="81"/>
            <rFont val="Tahoma"/>
            <family val="2"/>
          </rPr>
          <t xml:space="preserve">
Need to confirm with Province</t>
        </r>
      </text>
    </comment>
    <comment ref="F101" authorId="0" shapeId="0">
      <text>
        <r>
          <rPr>
            <b/>
            <sz val="9"/>
            <color indexed="81"/>
            <rFont val="Tahoma"/>
            <family val="2"/>
          </rPr>
          <t>Lloyd Lee:</t>
        </r>
        <r>
          <rPr>
            <sz val="9"/>
            <color indexed="81"/>
            <rFont val="Tahoma"/>
            <family val="2"/>
          </rPr>
          <t xml:space="preserve">
E5</t>
        </r>
      </text>
    </comment>
    <comment ref="F102" authorId="0" shapeId="0">
      <text>
        <r>
          <rPr>
            <b/>
            <sz val="9"/>
            <color indexed="81"/>
            <rFont val="Tahoma"/>
            <family val="2"/>
          </rPr>
          <t>Lloyd Lee:</t>
        </r>
        <r>
          <rPr>
            <sz val="9"/>
            <color indexed="81"/>
            <rFont val="Tahoma"/>
            <family val="2"/>
          </rPr>
          <t xml:space="preserve">
B4</t>
        </r>
      </text>
    </comment>
    <comment ref="F117" authorId="0" shapeId="0">
      <text>
        <r>
          <rPr>
            <b/>
            <sz val="9"/>
            <color indexed="81"/>
            <rFont val="Tahoma"/>
            <family val="2"/>
          </rPr>
          <t>Lloyd Lee:</t>
        </r>
        <r>
          <rPr>
            <sz val="9"/>
            <color indexed="81"/>
            <rFont val="Tahoma"/>
            <family val="2"/>
          </rPr>
          <t xml:space="preserve">
E5</t>
        </r>
      </text>
    </comment>
    <comment ref="F118" authorId="0" shapeId="0">
      <text>
        <r>
          <rPr>
            <b/>
            <sz val="9"/>
            <color indexed="81"/>
            <rFont val="Tahoma"/>
            <family val="2"/>
          </rPr>
          <t>Lloyd Lee:</t>
        </r>
        <r>
          <rPr>
            <sz val="9"/>
            <color indexed="81"/>
            <rFont val="Tahoma"/>
            <family val="2"/>
          </rPr>
          <t xml:space="preserve">
B4</t>
        </r>
      </text>
    </comment>
    <comment ref="F141" authorId="0" shapeId="0">
      <text>
        <r>
          <rPr>
            <b/>
            <sz val="9"/>
            <color indexed="81"/>
            <rFont val="Tahoma"/>
            <family val="2"/>
          </rPr>
          <t>Lloyd Lee:</t>
        </r>
        <r>
          <rPr>
            <sz val="9"/>
            <color indexed="81"/>
            <rFont val="Tahoma"/>
            <family val="2"/>
          </rPr>
          <t xml:space="preserve">
E5</t>
        </r>
      </text>
    </comment>
    <comment ref="F142" authorId="0" shapeId="0">
      <text>
        <r>
          <rPr>
            <b/>
            <sz val="9"/>
            <color indexed="81"/>
            <rFont val="Tahoma"/>
            <family val="2"/>
          </rPr>
          <t>Lloyd Lee:</t>
        </r>
        <r>
          <rPr>
            <sz val="9"/>
            <color indexed="81"/>
            <rFont val="Tahoma"/>
            <family val="2"/>
          </rPr>
          <t xml:space="preserve">
B4</t>
        </r>
      </text>
    </comment>
    <comment ref="F165" authorId="0" shapeId="0">
      <text>
        <r>
          <rPr>
            <b/>
            <sz val="9"/>
            <color indexed="81"/>
            <rFont val="Tahoma"/>
            <family val="2"/>
          </rPr>
          <t>Lloyd Lee:</t>
        </r>
        <r>
          <rPr>
            <sz val="9"/>
            <color indexed="81"/>
            <rFont val="Tahoma"/>
            <family val="2"/>
          </rPr>
          <t xml:space="preserve">
E5</t>
        </r>
      </text>
    </comment>
    <comment ref="F166" authorId="0" shapeId="0">
      <text>
        <r>
          <rPr>
            <b/>
            <sz val="9"/>
            <color indexed="81"/>
            <rFont val="Tahoma"/>
            <family val="2"/>
          </rPr>
          <t>Lloyd Lee:</t>
        </r>
        <r>
          <rPr>
            <sz val="9"/>
            <color indexed="81"/>
            <rFont val="Tahoma"/>
            <family val="2"/>
          </rPr>
          <t xml:space="preserve">
B4</t>
        </r>
      </text>
    </comment>
    <comment ref="P189" authorId="0" shapeId="0">
      <text>
        <r>
          <rPr>
            <b/>
            <sz val="9"/>
            <color indexed="81"/>
            <rFont val="Tahoma"/>
            <family val="2"/>
          </rPr>
          <t>Lloyd Lee:</t>
        </r>
        <r>
          <rPr>
            <sz val="9"/>
            <color indexed="81"/>
            <rFont val="Tahoma"/>
            <family val="2"/>
          </rPr>
          <t xml:space="preserve">
2014 Guidance holds for 2015. Protocol update cycle lengthened to biannual.</t>
        </r>
      </text>
    </comment>
    <comment ref="Q189" authorId="0" shapeId="0">
      <text>
        <r>
          <rPr>
            <b/>
            <sz val="9"/>
            <color indexed="81"/>
            <rFont val="Tahoma"/>
            <family val="2"/>
          </rPr>
          <t>Lloyd Lee:</t>
        </r>
        <r>
          <rPr>
            <sz val="9"/>
            <color indexed="81"/>
            <rFont val="Tahoma"/>
            <family val="2"/>
          </rPr>
          <t xml:space="preserve">
Beginning 2016: Protocol update cycle lengthened to biannual. Using 2016-2017 Guidance</t>
        </r>
      </text>
    </comment>
    <comment ref="R189" authorId="0" shapeId="0">
      <text>
        <r>
          <rPr>
            <b/>
            <sz val="9"/>
            <color indexed="81"/>
            <rFont val="Tahoma"/>
            <family val="2"/>
          </rPr>
          <t>Lloyd Lee:</t>
        </r>
        <r>
          <rPr>
            <sz val="9"/>
            <color indexed="81"/>
            <rFont val="Tahoma"/>
            <family val="2"/>
          </rPr>
          <t xml:space="preserve">
Beginning 2016: Protocol update cycle lengthened to biannual. Using 2016-2017 Guidance</t>
        </r>
      </text>
    </comment>
    <comment ref="C190" authorId="0" shapeId="0">
      <text>
        <r>
          <rPr>
            <b/>
            <sz val="9"/>
            <color indexed="81"/>
            <rFont val="Tahoma"/>
            <family val="2"/>
          </rPr>
          <t>Lloyd Lee:</t>
        </r>
        <r>
          <rPr>
            <sz val="9"/>
            <color indexed="81"/>
            <rFont val="Tahoma"/>
            <family val="2"/>
          </rPr>
          <t xml:space="preserve">
E5</t>
        </r>
      </text>
    </comment>
    <comment ref="C191" authorId="0" shapeId="0">
      <text>
        <r>
          <rPr>
            <b/>
            <sz val="9"/>
            <color indexed="81"/>
            <rFont val="Tahoma"/>
            <family val="2"/>
          </rPr>
          <t>Lloyd Lee:</t>
        </r>
        <r>
          <rPr>
            <sz val="9"/>
            <color indexed="81"/>
            <rFont val="Tahoma"/>
            <family val="2"/>
          </rPr>
          <t xml:space="preserve">
B4</t>
        </r>
      </text>
    </comment>
    <comment ref="V283" authorId="3" shapeId="0">
      <text>
        <r>
          <rPr>
            <b/>
            <sz val="8"/>
            <color indexed="81"/>
            <rFont val="Tahoma"/>
            <family val="2"/>
          </rPr>
          <t>Matt Horne:</t>
        </r>
        <r>
          <rPr>
            <sz val="8"/>
            <color indexed="81"/>
            <rFont val="Tahoma"/>
            <family val="2"/>
          </rPr>
          <t xml:space="preserve">
2003 value not available</t>
        </r>
      </text>
    </comment>
    <comment ref="V285" authorId="3" shapeId="0">
      <text>
        <r>
          <rPr>
            <b/>
            <sz val="8"/>
            <color indexed="81"/>
            <rFont val="Tahoma"/>
            <family val="2"/>
          </rPr>
          <t>Matt Horne:</t>
        </r>
        <r>
          <rPr>
            <sz val="8"/>
            <color indexed="81"/>
            <rFont val="Tahoma"/>
            <family val="2"/>
          </rPr>
          <t xml:space="preserve">
2003 value not available</t>
        </r>
      </text>
    </comment>
    <comment ref="C323" authorId="0" shapeId="0">
      <text>
        <r>
          <rPr>
            <b/>
            <sz val="9"/>
            <color indexed="81"/>
            <rFont val="Tahoma"/>
            <family val="2"/>
          </rPr>
          <t>Lloyd Lee:</t>
        </r>
        <r>
          <rPr>
            <sz val="9"/>
            <color indexed="81"/>
            <rFont val="Tahoma"/>
            <family val="2"/>
          </rPr>
          <t xml:space="preserve">
E5</t>
        </r>
      </text>
    </comment>
    <comment ref="I323" authorId="0" shapeId="0">
      <text>
        <r>
          <rPr>
            <b/>
            <sz val="9"/>
            <color indexed="81"/>
            <rFont val="Tahoma"/>
            <family val="2"/>
          </rPr>
          <t>Lloyd Lee:</t>
        </r>
        <r>
          <rPr>
            <sz val="9"/>
            <color indexed="81"/>
            <rFont val="Tahoma"/>
            <family val="2"/>
          </rPr>
          <t xml:space="preserve">
These match guidance EFs for B4/E5
</t>
        </r>
      </text>
    </comment>
    <comment ref="C324" authorId="0" shapeId="0">
      <text>
        <r>
          <rPr>
            <b/>
            <sz val="9"/>
            <color indexed="81"/>
            <rFont val="Tahoma"/>
            <family val="2"/>
          </rPr>
          <t>Lloyd Lee:</t>
        </r>
        <r>
          <rPr>
            <sz val="9"/>
            <color indexed="81"/>
            <rFont val="Tahoma"/>
            <family val="2"/>
          </rPr>
          <t xml:space="preserve">
B4</t>
        </r>
      </text>
    </comment>
    <comment ref="I345" authorId="0" shapeId="0">
      <text>
        <r>
          <rPr>
            <b/>
            <sz val="9"/>
            <color indexed="81"/>
            <rFont val="Tahoma"/>
            <family val="2"/>
          </rPr>
          <t>Lloyd Lee:</t>
        </r>
        <r>
          <rPr>
            <sz val="9"/>
            <color indexed="81"/>
            <rFont val="Tahoma"/>
            <family val="2"/>
          </rPr>
          <t xml:space="preserve">
These match guidance EFs for B4/E5
</t>
        </r>
      </text>
    </comment>
  </commentList>
</comments>
</file>

<file path=xl/sharedStrings.xml><?xml version="1.0" encoding="utf-8"?>
<sst xmlns="http://schemas.openxmlformats.org/spreadsheetml/2006/main" count="960" uniqueCount="285">
  <si>
    <t>Special Events GHG Emissions Calculator</t>
  </si>
  <si>
    <t>Name of Event</t>
  </si>
  <si>
    <t>Number of Generators Used</t>
  </si>
  <si>
    <t>Duration of operations (hrs of run time)</t>
  </si>
  <si>
    <t>Natural Gas (stationary)</t>
  </si>
  <si>
    <t xml:space="preserve"> &lt; click "+" to expand</t>
  </si>
  <si>
    <t>Fuel</t>
  </si>
  <si>
    <t>Emissions Factor</t>
  </si>
  <si>
    <t>Unit</t>
  </si>
  <si>
    <t>Source</t>
  </si>
  <si>
    <t>Notes</t>
  </si>
  <si>
    <t>Nat. Gas.</t>
  </si>
  <si>
    <r>
      <t>g/m</t>
    </r>
    <r>
      <rPr>
        <vertAlign val="superscript"/>
        <sz val="10"/>
        <rFont val="Calibri"/>
        <family val="2"/>
        <scheme val="minor"/>
      </rPr>
      <t>3</t>
    </r>
  </si>
  <si>
    <t>http://www.ec.gc.ca/ges-ghg/default.asp?lang=En&amp;n=AC2B7641-1</t>
  </si>
  <si>
    <t>tCO2e/GJ</t>
  </si>
  <si>
    <t>Aug 2015: Prompted by GPC compliance, now following BC Protocol guidance for annual update of stationary nat gas EF from 2012 onward. Note GWP change in 2014 is retroactive. http://www.env.gov.bc.ca/cas/mitigation/pdfs/BC-Best-Practices-Methodology-for-Quantifying-Greenhouse-Gas-Emissions.pdf</t>
  </si>
  <si>
    <t>Emission Factors</t>
  </si>
  <si>
    <t>GWP</t>
  </si>
  <si>
    <t>GHG</t>
  </si>
  <si>
    <t>CO2</t>
  </si>
  <si>
    <t>CH4</t>
  </si>
  <si>
    <t>N2O</t>
  </si>
  <si>
    <t xml:space="preserve">Time-series tracks when changes were made, not when they became appliable. Always use the latest column. </t>
  </si>
  <si>
    <r>
      <t>GHG Intensity by Calendar Year (tCO</t>
    </r>
    <r>
      <rPr>
        <b/>
        <vertAlign val="subscript"/>
        <sz val="10"/>
        <color theme="0"/>
        <rFont val="Calibri"/>
        <family val="2"/>
        <scheme val="minor"/>
      </rPr>
      <t>2</t>
    </r>
    <r>
      <rPr>
        <b/>
        <sz val="10"/>
        <color theme="0"/>
        <rFont val="Calibri"/>
        <family val="2"/>
        <scheme val="minor"/>
      </rPr>
      <t> e/GJ)</t>
    </r>
  </si>
  <si>
    <t>EF (tCO2e/GJ)</t>
  </si>
  <si>
    <t>RNG / BIOMETHANE</t>
  </si>
  <si>
    <t>CO2 (biogenic)</t>
  </si>
  <si>
    <t>Electricity</t>
  </si>
  <si>
    <t>Sources</t>
  </si>
  <si>
    <t>Category</t>
  </si>
  <si>
    <r>
      <t>GHG Intensity by Calendar Year (tCO</t>
    </r>
    <r>
      <rPr>
        <b/>
        <vertAlign val="subscript"/>
        <sz val="10"/>
        <color theme="0"/>
        <rFont val="Calibri"/>
        <family val="2"/>
        <scheme val="minor"/>
      </rPr>
      <t>2</t>
    </r>
    <r>
      <rPr>
        <b/>
        <sz val="10"/>
        <color theme="0"/>
        <rFont val="Calibri"/>
        <family val="2"/>
        <scheme val="minor"/>
      </rPr>
      <t> e/GWh)</t>
    </r>
  </si>
  <si>
    <t>Total BC Hydro electricity generation</t>
  </si>
  <si>
    <t>BC Hydro fossil fuel electricity generation</t>
  </si>
  <si>
    <t>Total electricity generation</t>
  </si>
  <si>
    <t>BC Protocol guidance</t>
  </si>
  <si>
    <t>EF (tCO2e/kWh)</t>
  </si>
  <si>
    <r>
      <t xml:space="preserve">% CLEAN ENERGY (BC Hydro Annual Service Plans - pub Feb 20xx: </t>
    </r>
    <r>
      <rPr>
        <sz val="10"/>
        <rFont val="Calibri"/>
        <family val="2"/>
        <scheme val="minor"/>
      </rPr>
      <t>https://www.bcbudget.gov.bc.ca/2015/sp/pdf/agency/bchydro.pdf</t>
    </r>
    <r>
      <rPr>
        <b/>
        <sz val="10"/>
        <rFont val="Calibri"/>
        <family val="2"/>
        <scheme val="minor"/>
      </rPr>
      <t>)</t>
    </r>
  </si>
  <si>
    <t>NEU</t>
  </si>
  <si>
    <t>Steam</t>
  </si>
  <si>
    <t>Energy and Unit Conversion Factors</t>
  </si>
  <si>
    <t>Factor</t>
  </si>
  <si>
    <t>GJ/lb</t>
  </si>
  <si>
    <t>REFM default factor, per Ameresco AssetPlanner</t>
  </si>
  <si>
    <t>Natural Gas</t>
  </si>
  <si>
    <t>GJ/m3</t>
  </si>
  <si>
    <t>BC Guidance 2016-2017</t>
  </si>
  <si>
    <t>Compressed Natural Gas (CNG)</t>
  </si>
  <si>
    <t>GJ/L</t>
  </si>
  <si>
    <t xml:space="preserve"> http://www.gowithnaturalgas.ca/wp-content/uploads/2014/01/OEM-Dealer-Reference-Guide-FINAL-EN1.pdf</t>
  </si>
  <si>
    <t>Heating Oil</t>
  </si>
  <si>
    <t>https://www.neb-one.gc.ca/nrg/tl/cnvrsntbl/cnvrsntbl-eng.html</t>
  </si>
  <si>
    <t>Diesel</t>
  </si>
  <si>
    <t>Gasoline</t>
  </si>
  <si>
    <t>Energy</t>
  </si>
  <si>
    <t>MWh/GJ</t>
  </si>
  <si>
    <t>GJ/kWh</t>
  </si>
  <si>
    <t>J/btu</t>
  </si>
  <si>
    <t>Volume</t>
  </si>
  <si>
    <t>USgal/L</t>
  </si>
  <si>
    <t>Jan 2017: Nat Gas stationary fuel combustion changed to 0.03885 (from 0.03730 https://www.neb-one.gc.ca/nrg/tl/cnvrsntbl/cnvrsntbl-eng.html) per BC Guidance 2016-2017</t>
  </si>
  <si>
    <t>Fuel Blend Energy Content</t>
  </si>
  <si>
    <t>B100</t>
  </si>
  <si>
    <t>http://www.afdc.energy.gov/fuels/fuel_comparison_chart.pdf</t>
  </si>
  <si>
    <t>B20</t>
  </si>
  <si>
    <t>&lt;calculated&gt;</t>
  </si>
  <si>
    <t>B5</t>
  </si>
  <si>
    <t>CNG</t>
  </si>
  <si>
    <t>GJ/DLE</t>
  </si>
  <si>
    <t>27.7 DLE per GJ</t>
  </si>
  <si>
    <t>D</t>
  </si>
  <si>
    <t>E10</t>
  </si>
  <si>
    <t>E100</t>
  </si>
  <si>
    <t>G</t>
  </si>
  <si>
    <t>P</t>
  </si>
  <si>
    <t>Transportation Emission Factors (Fleet Fuel)</t>
  </si>
  <si>
    <t>Values in black are user input</t>
  </si>
  <si>
    <t>Values in orange are derived</t>
  </si>
  <si>
    <t>Pre-2011: Calculation based on static emission factors (see DEPRECATED FACTORS section)</t>
  </si>
  <si>
    <t>From 2011 onward: BC-Best-Practices-Methodology-for-Quantifying-Greenhouse-Gas-Emissions, Table 7 (Fleet Fuel Consumption)</t>
  </si>
  <si>
    <t>Note: Jan 2015: "100% Gasoline/Diesel" already includes E5 and B4; therefore back-calculate EFs for pure gas/diesel and apply to pro-rate for other blends</t>
  </si>
  <si>
    <t>Conversion for CNG kg to litre-equivalents</t>
  </si>
  <si>
    <t>GLE</t>
  </si>
  <si>
    <t>gasoline</t>
  </si>
  <si>
    <t>kg CNG / GLE</t>
  </si>
  <si>
    <t>source: BC Guidance, section 4.2 (Natural Gas Vehicle Emission Factors)</t>
  </si>
  <si>
    <t>DLE</t>
  </si>
  <si>
    <t>diesel</t>
  </si>
  <si>
    <t>kg CNG / DLE</t>
  </si>
  <si>
    <t xml:space="preserve">source: FortisBC, via email from Dave Tolnai EQS to Lloyd Lee March 24, 2015 </t>
  </si>
  <si>
    <t>use in EQS fleet-replacement calcs (before vs after)</t>
  </si>
  <si>
    <t>for inventory purposes, use this</t>
  </si>
  <si>
    <t>Bio-CO2</t>
  </si>
  <si>
    <t>kg CO2e / L</t>
  </si>
  <si>
    <t>Various</t>
  </si>
  <si>
    <t>R100</t>
  </si>
  <si>
    <t>Light Duty Vehicle</t>
  </si>
  <si>
    <t>Light Duty Truck</t>
  </si>
  <si>
    <t>Heavy Duty</t>
  </si>
  <si>
    <t>Motorcycle</t>
  </si>
  <si>
    <t>Off-Road</t>
  </si>
  <si>
    <t>Marine</t>
  </si>
  <si>
    <t>calc using E5 guidance</t>
  </si>
  <si>
    <t>E0</t>
  </si>
  <si>
    <t>calc using B4 guidance</t>
  </si>
  <si>
    <t>B0</t>
  </si>
  <si>
    <t>Propane</t>
  </si>
  <si>
    <t>NG</t>
  </si>
  <si>
    <t>Aviation</t>
  </si>
  <si>
    <t>All EFs in kg CO2e/L unless marked</t>
  </si>
  <si>
    <t>Vehicle Class</t>
  </si>
  <si>
    <t>Index</t>
  </si>
  <si>
    <t>% Fossil Fuel</t>
  </si>
  <si>
    <t>% Bioffuel</t>
  </si>
  <si>
    <t>kg CO2e/DLE</t>
  </si>
  <si>
    <t>B10</t>
  </si>
  <si>
    <t>B50</t>
  </si>
  <si>
    <t>Off Road Vehicle</t>
  </si>
  <si>
    <t>Deprecated Factors</t>
  </si>
  <si>
    <t>gCO2e/kWh</t>
  </si>
  <si>
    <t>BC Hydro: 4 yr average 2005-8  http://www.bchydro.com/about/accountability_reports/2011_gri/f2011_environmental_EN16_2.html</t>
  </si>
  <si>
    <t xml:space="preserve">  &lt;&lt; DEPRECATED - DO NOT USE</t>
  </si>
  <si>
    <t>Stationary Emission Factors</t>
  </si>
  <si>
    <t>Emission Factor</t>
  </si>
  <si>
    <r>
      <t>gCO2e/m</t>
    </r>
    <r>
      <rPr>
        <strike/>
        <vertAlign val="superscript"/>
        <sz val="10"/>
        <color theme="0" tint="-0.249977111117893"/>
        <rFont val="Calibri"/>
        <family val="2"/>
        <scheme val="minor"/>
      </rPr>
      <t>3</t>
    </r>
  </si>
  <si>
    <t>Canada's GHG Inventory (BC Greenhouse Gas Inventory Report 2008, p. 62 gives 1927.0)</t>
  </si>
  <si>
    <t>Updated 2014 for 2014 BC-Best-Practices-Methodology-for-Quantifying-Greenhouse-Gas-Emissions, Table 1 (Stationary Fuel Consumption)</t>
  </si>
  <si>
    <t>alt Value (0.0514638732205211) partially used in 2012 Building Data  tab</t>
  </si>
  <si>
    <t>Email from Jim Manson, P.Eng, Central Heat Distribution Ltd, Nov 14, 2013 (via Craig Edwards, REFM)</t>
  </si>
  <si>
    <t>tCO2e/lb steam</t>
  </si>
  <si>
    <t xml:space="preserve">Derived from FAME data pull: calc GHG ÷ lb consumed. According to Rich Tse, this is from Central Heat. </t>
  </si>
  <si>
    <t xml:space="preserve">Email from Kieran McConnell,  COV Engineering, Apr 16, 2015: 0.0194 tCO2e/GJ
Email from Kieran McConnell,  COV Engineering, Nov 13, 2013 (via Craig Edwards, REFM): 0.018611 tCO2e/GJ
</t>
  </si>
  <si>
    <t>Source: Emission factors to be used according to GCC Toolkit: http://www.env.gov.bc.ca/cas/mitigation/pdfs/BC-Best-Practices-Methodology-for-Quantifying-Greenhouse-Gas-Emissions.pdf</t>
  </si>
  <si>
    <t>Average Annual Emissions Intensities for Electricity (tonnes/GJ)</t>
  </si>
  <si>
    <t>Province</t>
  </si>
  <si>
    <t>NF</t>
  </si>
  <si>
    <t>NS</t>
  </si>
  <si>
    <t>NB</t>
  </si>
  <si>
    <t>PE</t>
  </si>
  <si>
    <t>QC</t>
  </si>
  <si>
    <t>ON</t>
  </si>
  <si>
    <t>MB</t>
  </si>
  <si>
    <t>SK</t>
  </si>
  <si>
    <t>AB</t>
  </si>
  <si>
    <t>BC</t>
  </si>
  <si>
    <t xml:space="preserve">Note - </t>
  </si>
  <si>
    <t>the 2008 and 2009 emission intensities are copied from 2007; Actual 2008 and 2009 values are not yet available from Environment Canada.</t>
  </si>
  <si>
    <t xml:space="preserve">2007 emission factors noted as preliminary in 2007 inventory report. </t>
  </si>
  <si>
    <t>Embodied CO2e in Canadian Natural Gas</t>
  </si>
  <si>
    <t>Natural gas exported in 2002</t>
  </si>
  <si>
    <t>PJ</t>
  </si>
  <si>
    <t>Emissions associated with prod.</t>
  </si>
  <si>
    <t>MT CO2e</t>
  </si>
  <si>
    <t>Emissions intensity of gas prod.</t>
  </si>
  <si>
    <t>kg/GJ</t>
  </si>
  <si>
    <t>*Source = Table S-5, http://www.ec.gc.ca/pdb/ghg/1990_02_report/p3_e.cfm#tables2</t>
  </si>
  <si>
    <t>Other Emissions Factors</t>
  </si>
  <si>
    <t>Units</t>
  </si>
  <si>
    <t xml:space="preserve">CO2 </t>
  </si>
  <si>
    <t>CO2e</t>
  </si>
  <si>
    <t>(t)</t>
  </si>
  <si>
    <t>(t CO2e)</t>
  </si>
  <si>
    <t>m3</t>
  </si>
  <si>
    <t>http://www.env.gov.bc.ca/cas/mitigation/ghg_inventory/pdf/pir-2008-full-report.pdf</t>
  </si>
  <si>
    <t>L</t>
  </si>
  <si>
    <t>GJ</t>
  </si>
  <si>
    <t>http://www.env.gov.bc.ca/cas/mitigation/pdfs/Methodology_for_Reporting_BC_Public_Sector_GHG_Emissions.pdf</t>
  </si>
  <si>
    <t>Source: Canada's Greenhouse Gas Inventory - http://www.ec.gc.ca/ges-ghg/default.asp?lang=En&amp;n=AC2B7641-1</t>
  </si>
  <si>
    <t>EF (CO2e)</t>
  </si>
  <si>
    <t>Previous years</t>
  </si>
  <si>
    <t>pre-2012</t>
  </si>
  <si>
    <t>g/L</t>
  </si>
  <si>
    <t>2013 BC-Best-Practices; added CO2, CH4 and N2O but didn't weight for GWP</t>
  </si>
  <si>
    <t>Calc from BC PIR</t>
  </si>
  <si>
    <t>BC Greenhouse Gas Inventory Report 2008, p.62</t>
  </si>
  <si>
    <t>Stationary CO2e emission factor</t>
  </si>
  <si>
    <t>GENERATOR SIZE (KW)</t>
  </si>
  <si>
    <t>50 PERCENT LOAD</t>
  </si>
  <si>
    <t>75 PERCENT LOAD</t>
  </si>
  <si>
    <t>100 PERCENT LOAD</t>
  </si>
  <si>
    <t>https://www.hardydiesel.com/resources/diesel-generator-fuel-consumption-chart/</t>
  </si>
  <si>
    <t>Diesel Generator Fuel Consumption Chart</t>
  </si>
  <si>
    <t>Power Sources</t>
  </si>
  <si>
    <t>220-240 Volts</t>
  </si>
  <si>
    <t>110-120 Volts</t>
  </si>
  <si>
    <t>Generator Size (kW)</t>
  </si>
  <si>
    <t>Gas Generator Fuel Consumption Chart</t>
  </si>
  <si>
    <t>gal/hr</t>
  </si>
  <si>
    <t>1gal = 3.78541 L</t>
  </si>
  <si>
    <t>Fill out fields in this section if estimating fuel use based on hours of operation</t>
  </si>
  <si>
    <t xml:space="preserve">Power requirements </t>
  </si>
  <si>
    <t>Uses and purposes of power (ie lighting, sound, kitchen, effects etc)</t>
  </si>
  <si>
    <t>What portion of your power needs will be met with renewable energy sources?</t>
  </si>
  <si>
    <t>Other (provide details):</t>
  </si>
  <si>
    <t>None - we are off the grid</t>
  </si>
  <si>
    <t>Electrical outlets only</t>
  </si>
  <si>
    <t>Solar power only</t>
  </si>
  <si>
    <t>Battery only</t>
  </si>
  <si>
    <t>Generators</t>
  </si>
  <si>
    <t>To be more sustainable we designed our event to not require power</t>
  </si>
  <si>
    <t>100% of our power needs are renewable</t>
  </si>
  <si>
    <t>more than 50% is renewable</t>
  </si>
  <si>
    <t>50% or less is renewable</t>
  </si>
  <si>
    <t>None</t>
  </si>
  <si>
    <t>Points</t>
  </si>
  <si>
    <t>What is your source of power</t>
  </si>
  <si>
    <t>If Other, please indicate your other sources of power</t>
  </si>
  <si>
    <t>Event Type</t>
  </si>
  <si>
    <t>Event Size</t>
  </si>
  <si>
    <t>Celebration/Public Festival</t>
  </si>
  <si>
    <t>Civic Ceremony/consultation</t>
  </si>
  <si>
    <t>Community Picnic/Outreach</t>
  </si>
  <si>
    <t>Fundraiser</t>
  </si>
  <si>
    <t>Market (Private sales)</t>
  </si>
  <si>
    <t>Memorial/procession</t>
  </si>
  <si>
    <t>Parade</t>
  </si>
  <si>
    <t>Performance (charge)</t>
  </si>
  <si>
    <t>Performance (no charge)</t>
  </si>
  <si>
    <t>Private/Corporate event</t>
  </si>
  <si>
    <t>Private/Corporate Picnic</t>
  </si>
  <si>
    <t>Product Promotion/experiential marketing</t>
  </si>
  <si>
    <t>Program Information</t>
  </si>
  <si>
    <t>Rally</t>
  </si>
  <si>
    <t>Religious Picnic/Outreach</t>
  </si>
  <si>
    <t>Run/Walk</t>
  </si>
  <si>
    <t>School Picnic/celebration</t>
  </si>
  <si>
    <t>School/Religious</t>
  </si>
  <si>
    <t>Sporting</t>
  </si>
  <si>
    <t>VIVA/pop-up activation</t>
  </si>
  <si>
    <t>Wedding</t>
  </si>
  <si>
    <t>L (1,001-5,000)</t>
  </si>
  <si>
    <t>M (501-1,000)</t>
  </si>
  <si>
    <t>S (1-500)</t>
  </si>
  <si>
    <t>XL (5,001&gt;)</t>
  </si>
  <si>
    <t>Total Attendance Expected</t>
  </si>
  <si>
    <t>Will there be food present?</t>
  </si>
  <si>
    <t>Power requirements and Energy Use</t>
  </si>
  <si>
    <t>Combination of electricity with generator use</t>
  </si>
  <si>
    <t>Combination of sustainable energy with battery use</t>
  </si>
  <si>
    <t>more than 75% is renewable</t>
  </si>
  <si>
    <t>Yes</t>
  </si>
  <si>
    <t>No</t>
  </si>
  <si>
    <t>kg CO2e from Generators</t>
  </si>
  <si>
    <t>https://www.toolkit.bc.ca/sites/default/files/2014_best_practices_methodology_for_quantifying_greenhouse_gas_emissions%20%281%29.pdf</t>
  </si>
  <si>
    <t>Fuel Type of Generator</t>
  </si>
  <si>
    <t>Amount of fuel estimated to be used in GHG calcs (L)</t>
  </si>
  <si>
    <t>Diesel Generator(s)</t>
  </si>
  <si>
    <t>Gas Generator(s)</t>
  </si>
  <si>
    <t>Propane Generator(s)</t>
  </si>
  <si>
    <r>
      <t>1/4 Load (ft</t>
    </r>
    <r>
      <rPr>
        <b/>
        <sz val="6"/>
        <color rgb="FFFFFFFF"/>
        <rFont val="Arial"/>
        <family val="2"/>
      </rPr>
      <t>3</t>
    </r>
    <r>
      <rPr>
        <b/>
        <sz val="10"/>
        <color rgb="FFFFFFFF"/>
        <rFont val="Arial"/>
        <family val="2"/>
      </rPr>
      <t>/hr)</t>
    </r>
  </si>
  <si>
    <r>
      <t>1/2 Load (ft</t>
    </r>
    <r>
      <rPr>
        <b/>
        <sz val="6"/>
        <color rgb="FFFFFFFF"/>
        <rFont val="Arial"/>
        <family val="2"/>
      </rPr>
      <t>3</t>
    </r>
    <r>
      <rPr>
        <b/>
        <sz val="10"/>
        <color rgb="FFFFFFFF"/>
        <rFont val="Arial"/>
        <family val="2"/>
      </rPr>
      <t>/hr)</t>
    </r>
  </si>
  <si>
    <r>
      <t>3/4 Load (ft</t>
    </r>
    <r>
      <rPr>
        <b/>
        <sz val="6"/>
        <color rgb="FFFFFFFF"/>
        <rFont val="Arial"/>
        <family val="2"/>
      </rPr>
      <t>3</t>
    </r>
    <r>
      <rPr>
        <b/>
        <sz val="10"/>
        <color rgb="FFFFFFFF"/>
        <rFont val="Arial"/>
        <family val="2"/>
      </rPr>
      <t>/hr)</t>
    </r>
  </si>
  <si>
    <r>
      <t>Full Load (ft</t>
    </r>
    <r>
      <rPr>
        <b/>
        <sz val="6"/>
        <color rgb="FFFFFFFF"/>
        <rFont val="Arial"/>
        <family val="2"/>
      </rPr>
      <t>3</t>
    </r>
    <r>
      <rPr>
        <b/>
        <sz val="10"/>
        <color rgb="FFFFFFFF"/>
        <rFont val="Arial"/>
        <family val="2"/>
      </rPr>
      <t>/hr)</t>
    </r>
  </si>
  <si>
    <t>Propane Generator Fuel Consumption Chart</t>
  </si>
  <si>
    <t>Natural Gas Generator Fuel Consumption Chart</t>
  </si>
  <si>
    <t>Total GHG Emissions from all Power Sources</t>
  </si>
  <si>
    <t>Energy use and GHG Emissions of Generators</t>
  </si>
  <si>
    <t>Please fill in blank boxes</t>
  </si>
  <si>
    <t>Grey and red filled boxes automatically calculated</t>
  </si>
  <si>
    <t>drop down menu</t>
  </si>
  <si>
    <t>L/hr  *automatically populated based on generator size and assumes 75% load</t>
  </si>
  <si>
    <t xml:space="preserve">L  </t>
  </si>
  <si>
    <t>GJ *automatically calculated based on GJ/L heating factor</t>
  </si>
  <si>
    <t>Estimated total L of fuel used</t>
  </si>
  <si>
    <t>Energy used by generators (GJ)</t>
  </si>
  <si>
    <t>Total GHG Emissions kgCO2e</t>
  </si>
  <si>
    <t>kgCO2e</t>
  </si>
  <si>
    <t>Generator Size (W)</t>
  </si>
  <si>
    <t>1000 W</t>
  </si>
  <si>
    <t>2000 W</t>
  </si>
  <si>
    <t>2400 W</t>
  </si>
  <si>
    <t>3000 W</t>
  </si>
  <si>
    <t>5000 W</t>
  </si>
  <si>
    <t>6500 W</t>
  </si>
  <si>
    <t>7000 W</t>
  </si>
  <si>
    <t>8000 W</t>
  </si>
  <si>
    <t>7500 W</t>
  </si>
  <si>
    <t>9000 W</t>
  </si>
  <si>
    <t>Generator Size</t>
  </si>
  <si>
    <t>kW</t>
  </si>
  <si>
    <t>4000 W</t>
  </si>
  <si>
    <t>6000 W</t>
  </si>
  <si>
    <t>10,000 W</t>
  </si>
  <si>
    <t>Avg L of fuel consumed per hour</t>
  </si>
  <si>
    <t>Carbon Intensity/1000 ppl</t>
  </si>
  <si>
    <t>kgCO2e/1000 ppl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</si>
</sst>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0.000000"/>
    <numFmt numFmtId="166" formatCode="0.00000"/>
    <numFmt numFmtId="167" formatCode="0.0000"/>
    <numFmt numFmtId="168" formatCode="0.000000000000"/>
    <numFmt numFmtId="169" formatCode="#,##0.000000"/>
    <numFmt numFmtId="170" formatCode="#,##0.00000"/>
    <numFmt numFmtId="171" formatCode="#,##0.0000"/>
    <numFmt numFmtId="172" formatCode="0.000"/>
    <numFmt numFmtId="173" formatCode="#,##0.0"/>
    <numFmt numFmtId="174" formatCode="#,##0.000"/>
    <numFmt numFmtId="175" formatCode="_-* #,##0.00_-;\-* #,##0.00_-;_-* &quot;-&quot;??_-;_-@_-"/>
  </numFmts>
  <fonts count="9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indexed="10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8"/>
      <name val="Calibri"/>
      <family val="2"/>
      <scheme val="minor"/>
    </font>
    <font>
      <sz val="10"/>
      <color indexed="8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8"/>
      <color indexed="9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indexed="12"/>
      <name val="Calibri"/>
      <family val="2"/>
      <scheme val="minor"/>
    </font>
    <font>
      <sz val="8"/>
      <color rgb="FFFF0000"/>
      <name val="Calibri"/>
      <family val="2"/>
      <scheme val="minor"/>
    </font>
    <font>
      <sz val="10"/>
      <name val="Arial"/>
      <family val="2"/>
    </font>
    <font>
      <b/>
      <sz val="16"/>
      <color theme="4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vertAlign val="subscript"/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indexed="63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2"/>
      <color theme="4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b/>
      <sz val="12"/>
      <name val="Calibri"/>
      <family val="2"/>
      <scheme val="minor"/>
    </font>
    <font>
      <i/>
      <strike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trike/>
      <sz val="12"/>
      <color theme="4"/>
      <name val="Calibri"/>
      <family val="2"/>
      <scheme val="minor"/>
    </font>
    <font>
      <strike/>
      <sz val="10"/>
      <color theme="0" tint="-0.249977111117893"/>
      <name val="Calibri"/>
      <family val="2"/>
      <scheme val="minor"/>
    </font>
    <font>
      <strike/>
      <vertAlign val="superscript"/>
      <sz val="10"/>
      <color theme="0" tint="-0.249977111117893"/>
      <name val="Calibri"/>
      <family val="2"/>
      <scheme val="minor"/>
    </font>
    <font>
      <strike/>
      <u/>
      <sz val="10"/>
      <color theme="0" tint="-0.249977111117893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u/>
      <sz val="8"/>
      <color indexed="1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2"/>
      <color theme="0"/>
      <name val="Calibri"/>
      <family val="2"/>
      <scheme val="minor"/>
    </font>
    <font>
      <sz val="11"/>
      <color indexed="14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Helv"/>
    </font>
    <font>
      <sz val="8"/>
      <name val="Helvetica"/>
    </font>
    <font>
      <b/>
      <sz val="11"/>
      <color indexed="63"/>
      <name val="Calibri"/>
      <family val="2"/>
    </font>
    <font>
      <sz val="8"/>
      <name val="Arial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9.9"/>
      <color rgb="FF555555"/>
      <name val="Arial"/>
      <family val="2"/>
    </font>
    <font>
      <sz val="9.9"/>
      <color rgb="FF666666"/>
      <name val="Arial"/>
      <family val="2"/>
    </font>
    <font>
      <b/>
      <sz val="18"/>
      <color theme="1"/>
      <name val="Calibri"/>
      <family val="2"/>
      <scheme val="minor"/>
    </font>
    <font>
      <b/>
      <sz val="18"/>
      <color theme="0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u/>
      <sz val="8"/>
      <color indexed="12"/>
      <name val="Arial"/>
      <family val="2"/>
    </font>
    <font>
      <b/>
      <sz val="10"/>
      <color rgb="FFFFFFFF"/>
      <name val="Arial"/>
      <family val="2"/>
    </font>
    <font>
      <b/>
      <sz val="6"/>
      <color rgb="FFFFFFFF"/>
      <name val="Arial"/>
      <family val="2"/>
    </font>
    <font>
      <b/>
      <sz val="10"/>
      <color rgb="FF1E1D1D"/>
      <name val="Arial"/>
      <family val="2"/>
    </font>
    <font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</fonts>
  <fills count="84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19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5"/>
        <bgColor indexed="55"/>
      </patternFill>
    </fill>
    <fill>
      <patternFill patternType="solid">
        <fgColor indexed="54"/>
      </patternFill>
    </fill>
    <fill>
      <patternFill patternType="solid">
        <fgColor indexed="18"/>
        <bgColor indexed="18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</patternFill>
    </fill>
    <fill>
      <patternFill patternType="solid">
        <fgColor indexed="53"/>
        <b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  <fill>
      <patternFill patternType="darkTrellis"/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FFFFFF"/>
        <bgColor indexed="64"/>
      </patternFill>
    </fill>
    <fill>
      <patternFill patternType="solid">
        <fgColor rgb="FFD9EDF7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5C7BBB"/>
        <bgColor indexed="64"/>
      </patternFill>
    </fill>
    <fill>
      <patternFill patternType="solid">
        <fgColor rgb="FFD6DFE6"/>
        <bgColor indexed="64"/>
      </patternFill>
    </fill>
    <fill>
      <patternFill patternType="solid">
        <fgColor theme="5" tint="0.59999389629810485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DDDDDD"/>
      </bottom>
      <diagonal/>
    </border>
    <border>
      <left/>
      <right/>
      <top style="medium">
        <color rgb="FFDDDDDD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160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7" fillId="0" borderId="0"/>
    <xf numFmtId="0" fontId="1" fillId="0" borderId="0"/>
    <xf numFmtId="0" fontId="49" fillId="20" borderId="0" applyNumberFormat="0" applyBorder="0" applyAlignment="0" applyProtection="0"/>
    <xf numFmtId="0" fontId="49" fillId="21" borderId="0" applyNumberFormat="0" applyBorder="0" applyAlignment="0" applyProtection="0"/>
    <xf numFmtId="0" fontId="49" fillId="22" borderId="0" applyNumberFormat="0" applyBorder="0" applyAlignment="0" applyProtection="0"/>
    <xf numFmtId="0" fontId="49" fillId="20" borderId="0" applyNumberFormat="0" applyBorder="0" applyAlignment="0" applyProtection="0"/>
    <xf numFmtId="0" fontId="49" fillId="23" borderId="0" applyNumberFormat="0" applyBorder="0" applyAlignment="0" applyProtection="0"/>
    <xf numFmtId="0" fontId="49" fillId="21" borderId="0" applyNumberFormat="0" applyBorder="0" applyAlignment="0" applyProtection="0"/>
    <xf numFmtId="0" fontId="49" fillId="24" borderId="0" applyNumberFormat="0" applyBorder="0" applyAlignment="0" applyProtection="0"/>
    <xf numFmtId="0" fontId="49" fillId="25" borderId="0" applyNumberFormat="0" applyBorder="0" applyAlignment="0" applyProtection="0"/>
    <xf numFmtId="0" fontId="49" fillId="26" borderId="0" applyNumberFormat="0" applyBorder="0" applyAlignment="0" applyProtection="0"/>
    <xf numFmtId="0" fontId="49" fillId="24" borderId="0" applyNumberFormat="0" applyBorder="0" applyAlignment="0" applyProtection="0"/>
    <xf numFmtId="0" fontId="49" fillId="27" borderId="0" applyNumberFormat="0" applyBorder="0" applyAlignment="0" applyProtection="0"/>
    <xf numFmtId="0" fontId="49" fillId="21" borderId="0" applyNumberFormat="0" applyBorder="0" applyAlignment="0" applyProtection="0"/>
    <xf numFmtId="49" fontId="50" fillId="0" borderId="17" applyNumberFormat="0" applyFont="0" applyFill="0" applyBorder="0" applyProtection="0">
      <alignment horizontal="left" vertical="center" indent="5"/>
    </xf>
    <xf numFmtId="0" fontId="51" fillId="28" borderId="0" applyNumberFormat="0" applyBorder="0" applyAlignment="0" applyProtection="0"/>
    <xf numFmtId="0" fontId="51" fillId="25" borderId="0" applyNumberFormat="0" applyBorder="0" applyAlignment="0" applyProtection="0"/>
    <xf numFmtId="0" fontId="51" fillId="26" borderId="0" applyNumberFormat="0" applyBorder="0" applyAlignment="0" applyProtection="0"/>
    <xf numFmtId="0" fontId="51" fillId="24" borderId="0" applyNumberFormat="0" applyBorder="0" applyAlignment="0" applyProtection="0"/>
    <xf numFmtId="0" fontId="51" fillId="28" borderId="0" applyNumberFormat="0" applyBorder="0" applyAlignment="0" applyProtection="0"/>
    <xf numFmtId="0" fontId="51" fillId="21" borderId="0" applyNumberFormat="0" applyBorder="0" applyAlignment="0" applyProtection="0"/>
    <xf numFmtId="0" fontId="49" fillId="29" borderId="0" applyNumberFormat="0" applyBorder="0" applyAlignment="0" applyProtection="0"/>
    <xf numFmtId="0" fontId="49" fillId="30" borderId="0" applyNumberFormat="0" applyBorder="0" applyAlignment="0" applyProtection="0"/>
    <xf numFmtId="0" fontId="51" fillId="31" borderId="0" applyNumberFormat="0" applyBorder="0" applyAlignment="0" applyProtection="0"/>
    <xf numFmtId="0" fontId="51" fillId="28" borderId="0" applyNumberFormat="0" applyBorder="0" applyAlignment="0" applyProtection="0"/>
    <xf numFmtId="0" fontId="51" fillId="32" borderId="0" applyNumberFormat="0" applyBorder="0" applyAlignment="0" applyProtection="0"/>
    <xf numFmtId="0" fontId="49" fillId="33" borderId="0" applyNumberFormat="0" applyBorder="0" applyAlignment="0" applyProtection="0"/>
    <xf numFmtId="0" fontId="49" fillId="34" borderId="0" applyNumberFormat="0" applyBorder="0" applyAlignment="0" applyProtection="0"/>
    <xf numFmtId="0" fontId="51" fillId="35" borderId="0" applyNumberFormat="0" applyBorder="0" applyAlignment="0" applyProtection="0"/>
    <xf numFmtId="0" fontId="51" fillId="36" borderId="0" applyNumberFormat="0" applyBorder="0" applyAlignment="0" applyProtection="0"/>
    <xf numFmtId="0" fontId="51" fillId="37" borderId="0" applyNumberFormat="0" applyBorder="0" applyAlignment="0" applyProtection="0"/>
    <xf numFmtId="0" fontId="49" fillId="38" borderId="0" applyNumberFormat="0" applyBorder="0" applyAlignment="0" applyProtection="0"/>
    <xf numFmtId="0" fontId="49" fillId="39" borderId="0" applyNumberFormat="0" applyBorder="0" applyAlignment="0" applyProtection="0"/>
    <xf numFmtId="0" fontId="51" fillId="40" borderId="0" applyNumberFormat="0" applyBorder="0" applyAlignment="0" applyProtection="0"/>
    <xf numFmtId="0" fontId="51" fillId="36" borderId="0" applyNumberFormat="0" applyBorder="0" applyAlignment="0" applyProtection="0"/>
    <xf numFmtId="0" fontId="51" fillId="41" borderId="0" applyNumberFormat="0" applyBorder="0" applyAlignment="0" applyProtection="0"/>
    <xf numFmtId="0" fontId="49" fillId="33" borderId="0" applyNumberFormat="0" applyBorder="0" applyAlignment="0" applyProtection="0"/>
    <xf numFmtId="0" fontId="49" fillId="42" borderId="0" applyNumberFormat="0" applyBorder="0" applyAlignment="0" applyProtection="0"/>
    <xf numFmtId="0" fontId="51" fillId="34" borderId="0" applyNumberFormat="0" applyBorder="0" applyAlignment="0" applyProtection="0"/>
    <xf numFmtId="0" fontId="51" fillId="43" borderId="0" applyNumberFormat="0" applyBorder="0" applyAlignment="0" applyProtection="0"/>
    <xf numFmtId="0" fontId="51" fillId="44" borderId="0" applyNumberFormat="0" applyBorder="0" applyAlignment="0" applyProtection="0"/>
    <xf numFmtId="0" fontId="52" fillId="2" borderId="0" applyNumberFormat="0" applyBorder="0" applyAlignment="0" applyProtection="0"/>
    <xf numFmtId="0" fontId="52" fillId="2" borderId="0" applyNumberFormat="0" applyBorder="0" applyAlignment="0" applyProtection="0"/>
    <xf numFmtId="0" fontId="52" fillId="2" borderId="0" applyNumberFormat="0" applyBorder="0" applyAlignment="0" applyProtection="0"/>
    <xf numFmtId="0" fontId="52" fillId="2" borderId="0" applyNumberFormat="0" applyBorder="0" applyAlignment="0" applyProtection="0"/>
    <xf numFmtId="0" fontId="52" fillId="2" borderId="0" applyNumberFormat="0" applyBorder="0" applyAlignment="0" applyProtection="0"/>
    <xf numFmtId="0" fontId="52" fillId="2" borderId="0" applyNumberFormat="0" applyBorder="0" applyAlignment="0" applyProtection="0"/>
    <xf numFmtId="0" fontId="49" fillId="45" borderId="0" applyNumberFormat="0" applyBorder="0" applyAlignment="0" applyProtection="0"/>
    <xf numFmtId="0" fontId="49" fillId="46" borderId="0" applyNumberFormat="0" applyBorder="0" applyAlignment="0" applyProtection="0"/>
    <xf numFmtId="0" fontId="51" fillId="31" borderId="0" applyNumberFormat="0" applyBorder="0" applyAlignment="0" applyProtection="0"/>
    <xf numFmtId="0" fontId="51" fillId="28" borderId="0" applyNumberFormat="0" applyBorder="0" applyAlignment="0" applyProtection="0"/>
    <xf numFmtId="0" fontId="51" fillId="31" borderId="0" applyNumberFormat="0" applyBorder="0" applyAlignment="0" applyProtection="0"/>
    <xf numFmtId="0" fontId="49" fillId="47" borderId="0" applyNumberFormat="0" applyBorder="0" applyAlignment="0" applyProtection="0"/>
    <xf numFmtId="0" fontId="49" fillId="48" borderId="0" applyNumberFormat="0" applyBorder="0" applyAlignment="0" applyProtection="0"/>
    <xf numFmtId="0" fontId="51" fillId="49" borderId="0" applyNumberFormat="0" applyBorder="0" applyAlignment="0" applyProtection="0"/>
    <xf numFmtId="0" fontId="51" fillId="50" borderId="0" applyNumberFormat="0" applyBorder="0" applyAlignment="0" applyProtection="0"/>
    <xf numFmtId="0" fontId="51" fillId="51" borderId="0" applyNumberFormat="0" applyBorder="0" applyAlignment="0" applyProtection="0"/>
    <xf numFmtId="0" fontId="53" fillId="52" borderId="0" applyNumberFormat="0" applyBorder="0" applyAlignment="0" applyProtection="0"/>
    <xf numFmtId="4" fontId="54" fillId="0" borderId="16" applyFill="0" applyBorder="0" applyProtection="0">
      <alignment horizontal="right" vertical="center"/>
    </xf>
    <xf numFmtId="0" fontId="55" fillId="20" borderId="18" applyNumberFormat="0" applyAlignment="0" applyProtection="0"/>
    <xf numFmtId="0" fontId="56" fillId="53" borderId="19" applyNumberFormat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75" fontId="5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75" fontId="17" fillId="0" borderId="0" applyFont="0" applyFill="0" applyBorder="0" applyAlignment="0" applyProtection="0"/>
    <xf numFmtId="175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5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58" fillId="54" borderId="0" applyNumberFormat="0" applyBorder="0" applyAlignment="0" applyProtection="0"/>
    <xf numFmtId="0" fontId="58" fillId="55" borderId="0" applyNumberFormat="0" applyBorder="0" applyAlignment="0" applyProtection="0"/>
    <xf numFmtId="0" fontId="58" fillId="56" borderId="0" applyNumberFormat="0" applyBorder="0" applyAlignment="0" applyProtection="0"/>
    <xf numFmtId="0" fontId="59" fillId="0" borderId="0" applyNumberFormat="0" applyFill="0" applyBorder="0" applyAlignment="0" applyProtection="0"/>
    <xf numFmtId="2" fontId="17" fillId="0" borderId="0" applyFont="0" applyFill="0" applyBorder="0" applyAlignment="0" applyProtection="0"/>
    <xf numFmtId="0" fontId="60" fillId="57" borderId="0" applyNumberFormat="0" applyBorder="0" applyAlignment="0" applyProtection="0"/>
    <xf numFmtId="0" fontId="61" fillId="0" borderId="20" applyNumberFormat="0" applyFill="0" applyAlignment="0" applyProtection="0"/>
    <xf numFmtId="0" fontId="62" fillId="0" borderId="21" applyNumberFormat="0" applyFill="0" applyAlignment="0" applyProtection="0"/>
    <xf numFmtId="0" fontId="63" fillId="0" borderId="22" applyNumberFormat="0" applyFill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65" fillId="21" borderId="18" applyNumberFormat="0" applyAlignment="0" applyProtection="0"/>
    <xf numFmtId="0" fontId="66" fillId="0" borderId="23" applyNumberFormat="0" applyFill="0" applyAlignment="0" applyProtection="0"/>
    <xf numFmtId="0" fontId="67" fillId="26" borderId="0" applyNumberFormat="0" applyBorder="0" applyAlignment="0" applyProtection="0"/>
    <xf numFmtId="0" fontId="68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57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4" fontId="50" fillId="0" borderId="8" applyFill="0" applyBorder="0" applyProtection="0">
      <alignment horizontal="right" vertical="center"/>
    </xf>
    <xf numFmtId="49" fontId="54" fillId="0" borderId="8" applyNumberFormat="0" applyFill="0" applyBorder="0" applyProtection="0">
      <alignment horizontal="left" vertical="center"/>
    </xf>
    <xf numFmtId="0" fontId="50" fillId="0" borderId="8" applyNumberFormat="0" applyFill="0" applyAlignment="0" applyProtection="0"/>
    <xf numFmtId="0" fontId="69" fillId="58" borderId="0" applyNumberFormat="0" applyFont="0" applyBorder="0" applyAlignment="0" applyProtection="0"/>
    <xf numFmtId="0" fontId="17" fillId="22" borderId="24" applyNumberFormat="0" applyFont="0" applyAlignment="0" applyProtection="0"/>
    <xf numFmtId="0" fontId="70" fillId="20" borderId="25" applyNumberFormat="0" applyAlignment="0" applyProtection="0"/>
    <xf numFmtId="171" fontId="50" fillId="59" borderId="8" applyNumberFormat="0" applyFont="0" applyBorder="0" applyAlignment="0" applyProtection="0">
      <alignment horizontal="right" vertical="center"/>
    </xf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4" fontId="71" fillId="26" borderId="26" applyNumberFormat="0" applyProtection="0">
      <alignment vertical="center"/>
    </xf>
    <xf numFmtId="4" fontId="72" fillId="60" borderId="26" applyNumberFormat="0" applyProtection="0">
      <alignment vertical="center"/>
    </xf>
    <xf numFmtId="4" fontId="71" fillId="60" borderId="26" applyNumberFormat="0" applyProtection="0">
      <alignment horizontal="left" vertical="center" indent="1"/>
    </xf>
    <xf numFmtId="0" fontId="73" fillId="26" borderId="27" applyNumberFormat="0" applyProtection="0">
      <alignment horizontal="left" vertical="top" indent="1"/>
    </xf>
    <xf numFmtId="4" fontId="71" fillId="28" borderId="26" applyNumberFormat="0" applyProtection="0">
      <alignment horizontal="left" vertical="center" indent="1"/>
    </xf>
    <xf numFmtId="4" fontId="71" fillId="52" borderId="26" applyNumberFormat="0" applyProtection="0">
      <alignment horizontal="right" vertical="center"/>
    </xf>
    <xf numFmtId="4" fontId="71" fillId="61" borderId="26" applyNumberFormat="0" applyProtection="0">
      <alignment horizontal="right" vertical="center"/>
    </xf>
    <xf numFmtId="4" fontId="71" fillId="62" borderId="28" applyNumberFormat="0" applyProtection="0">
      <alignment horizontal="right" vertical="center"/>
    </xf>
    <xf numFmtId="4" fontId="71" fillId="63" borderId="26" applyNumberFormat="0" applyProtection="0">
      <alignment horizontal="right" vertical="center"/>
    </xf>
    <xf numFmtId="4" fontId="71" fillId="64" borderId="26" applyNumberFormat="0" applyProtection="0">
      <alignment horizontal="right" vertical="center"/>
    </xf>
    <xf numFmtId="4" fontId="71" fillId="50" borderId="26" applyNumberFormat="0" applyProtection="0">
      <alignment horizontal="right" vertical="center"/>
    </xf>
    <xf numFmtId="4" fontId="71" fillId="65" borderId="26" applyNumberFormat="0" applyProtection="0">
      <alignment horizontal="right" vertical="center"/>
    </xf>
    <xf numFmtId="4" fontId="71" fillId="66" borderId="26" applyNumberFormat="0" applyProtection="0">
      <alignment horizontal="right" vertical="center"/>
    </xf>
    <xf numFmtId="4" fontId="71" fillId="67" borderId="26" applyNumberFormat="0" applyProtection="0">
      <alignment horizontal="right" vertical="center"/>
    </xf>
    <xf numFmtId="4" fontId="71" fillId="68" borderId="28" applyNumberFormat="0" applyProtection="0">
      <alignment horizontal="left" vertical="center" indent="1"/>
    </xf>
    <xf numFmtId="4" fontId="17" fillId="43" borderId="28" applyNumberFormat="0" applyProtection="0">
      <alignment horizontal="left" vertical="center" indent="1"/>
    </xf>
    <xf numFmtId="4" fontId="17" fillId="43" borderId="28" applyNumberFormat="0" applyProtection="0">
      <alignment horizontal="left" vertical="center" indent="1"/>
    </xf>
    <xf numFmtId="4" fontId="71" fillId="69" borderId="26" applyNumberFormat="0" applyProtection="0">
      <alignment horizontal="right" vertical="center"/>
    </xf>
    <xf numFmtId="4" fontId="71" fillId="70" borderId="28" applyNumberFormat="0" applyProtection="0">
      <alignment horizontal="left" vertical="center" indent="1"/>
    </xf>
    <xf numFmtId="4" fontId="71" fillId="69" borderId="28" applyNumberFormat="0" applyProtection="0">
      <alignment horizontal="left" vertical="center" indent="1"/>
    </xf>
    <xf numFmtId="0" fontId="71" fillId="24" borderId="26" applyNumberFormat="0" applyProtection="0">
      <alignment horizontal="left" vertical="center" indent="1"/>
    </xf>
    <xf numFmtId="0" fontId="71" fillId="43" borderId="27" applyNumberFormat="0" applyProtection="0">
      <alignment horizontal="left" vertical="top" indent="1"/>
    </xf>
    <xf numFmtId="0" fontId="71" fillId="71" borderId="26" applyNumberFormat="0" applyProtection="0">
      <alignment horizontal="left" vertical="center" indent="1"/>
    </xf>
    <xf numFmtId="0" fontId="71" fillId="69" borderId="27" applyNumberFormat="0" applyProtection="0">
      <alignment horizontal="left" vertical="top" indent="1"/>
    </xf>
    <xf numFmtId="0" fontId="71" fillId="27" borderId="26" applyNumberFormat="0" applyProtection="0">
      <alignment horizontal="left" vertical="center" indent="1"/>
    </xf>
    <xf numFmtId="0" fontId="71" fillId="27" borderId="27" applyNumberFormat="0" applyProtection="0">
      <alignment horizontal="left" vertical="top" indent="1"/>
    </xf>
    <xf numFmtId="0" fontId="71" fillId="70" borderId="26" applyNumberFormat="0" applyProtection="0">
      <alignment horizontal="left" vertical="center" indent="1"/>
    </xf>
    <xf numFmtId="0" fontId="71" fillId="70" borderId="27" applyNumberFormat="0" applyProtection="0">
      <alignment horizontal="left" vertical="top" indent="1"/>
    </xf>
    <xf numFmtId="0" fontId="71" fillId="20" borderId="29" applyNumberFormat="0">
      <protection locked="0"/>
    </xf>
    <xf numFmtId="0" fontId="74" fillId="43" borderId="30" applyBorder="0"/>
    <xf numFmtId="4" fontId="75" fillId="22" borderId="27" applyNumberFormat="0" applyProtection="0">
      <alignment vertical="center"/>
    </xf>
    <xf numFmtId="4" fontId="72" fillId="72" borderId="8" applyNumberFormat="0" applyProtection="0">
      <alignment vertical="center"/>
    </xf>
    <xf numFmtId="4" fontId="75" fillId="24" borderId="27" applyNumberFormat="0" applyProtection="0">
      <alignment horizontal="left" vertical="center" indent="1"/>
    </xf>
    <xf numFmtId="0" fontId="75" fillId="22" borderId="27" applyNumberFormat="0" applyProtection="0">
      <alignment horizontal="left" vertical="top" indent="1"/>
    </xf>
    <xf numFmtId="4" fontId="71" fillId="0" borderId="26" applyNumberFormat="0" applyProtection="0">
      <alignment horizontal="right" vertical="center"/>
    </xf>
    <xf numFmtId="4" fontId="72" fillId="11" borderId="26" applyNumberFormat="0" applyProtection="0">
      <alignment horizontal="right" vertical="center"/>
    </xf>
    <xf numFmtId="4" fontId="71" fillId="28" borderId="26" applyNumberFormat="0" applyProtection="0">
      <alignment horizontal="left" vertical="center" indent="1"/>
    </xf>
    <xf numFmtId="0" fontId="75" fillId="69" borderId="27" applyNumberFormat="0" applyProtection="0">
      <alignment horizontal="left" vertical="top" indent="1"/>
    </xf>
    <xf numFmtId="4" fontId="76" fillId="73" borderId="28" applyNumberFormat="0" applyProtection="0">
      <alignment horizontal="left" vertical="center" indent="1"/>
    </xf>
    <xf numFmtId="0" fontId="71" fillId="74" borderId="8"/>
    <xf numFmtId="4" fontId="77" fillId="20" borderId="26" applyNumberFormat="0" applyProtection="0">
      <alignment horizontal="right" vertical="center"/>
    </xf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58" fillId="0" borderId="31" applyNumberFormat="0" applyFill="0" applyAlignment="0" applyProtection="0"/>
    <xf numFmtId="0" fontId="79" fillId="0" borderId="0" applyNumberFormat="0" applyFill="0" applyBorder="0" applyAlignment="0" applyProtection="0"/>
  </cellStyleXfs>
  <cellXfs count="301">
    <xf numFmtId="0" fontId="0" fillId="0" borderId="0" xfId="0"/>
    <xf numFmtId="0" fontId="3" fillId="0" borderId="0" xfId="0" applyFont="1"/>
    <xf numFmtId="0" fontId="0" fillId="9" borderId="0" xfId="0" applyFill="1"/>
    <xf numFmtId="0" fontId="15" fillId="0" borderId="0" xfId="1" applyFont="1" applyBorder="1" applyAlignment="1" applyProtection="1"/>
    <xf numFmtId="0" fontId="9" fillId="0" borderId="0" xfId="2" applyFont="1" applyBorder="1"/>
    <xf numFmtId="0" fontId="18" fillId="0" borderId="0" xfId="2" applyFont="1"/>
    <xf numFmtId="0" fontId="6" fillId="0" borderId="0" xfId="2" applyFont="1" applyBorder="1"/>
    <xf numFmtId="0" fontId="7" fillId="7" borderId="0" xfId="2" applyFont="1" applyFill="1" applyBorder="1"/>
    <xf numFmtId="0" fontId="8" fillId="0" borderId="0" xfId="2" applyFont="1" applyBorder="1"/>
    <xf numFmtId="0" fontId="11" fillId="10" borderId="2" xfId="2" applyFont="1" applyFill="1" applyBorder="1" applyAlignment="1">
      <alignment vertical="center"/>
    </xf>
    <xf numFmtId="0" fontId="11" fillId="10" borderId="2" xfId="2" applyFont="1" applyFill="1" applyBorder="1" applyAlignment="1">
      <alignment horizontal="center" vertical="center"/>
    </xf>
    <xf numFmtId="0" fontId="12" fillId="0" borderId="0" xfId="2" applyFont="1" applyBorder="1"/>
    <xf numFmtId="0" fontId="9" fillId="0" borderId="3" xfId="2" applyFont="1" applyBorder="1"/>
    <xf numFmtId="0" fontId="9" fillId="12" borderId="3" xfId="2" applyFont="1" applyFill="1" applyBorder="1"/>
    <xf numFmtId="0" fontId="12" fillId="11" borderId="0" xfId="2" applyFont="1" applyFill="1" applyBorder="1"/>
    <xf numFmtId="0" fontId="16" fillId="0" borderId="0" xfId="2" applyFont="1"/>
    <xf numFmtId="0" fontId="10" fillId="0" borderId="0" xfId="2" applyFont="1" applyBorder="1"/>
    <xf numFmtId="0" fontId="11" fillId="10" borderId="0" xfId="2" applyFont="1" applyFill="1" applyBorder="1" applyAlignment="1">
      <alignment vertical="center"/>
    </xf>
    <xf numFmtId="0" fontId="11" fillId="10" borderId="0" xfId="2" applyFont="1" applyFill="1" applyBorder="1" applyAlignment="1">
      <alignment horizontal="center" vertical="center" wrapText="1"/>
    </xf>
    <xf numFmtId="164" fontId="12" fillId="0" borderId="0" xfId="2" applyNumberFormat="1" applyFont="1" applyBorder="1"/>
    <xf numFmtId="0" fontId="12" fillId="0" borderId="0" xfId="2" applyFont="1" applyBorder="1" applyAlignment="1">
      <alignment vertical="center"/>
    </xf>
    <xf numFmtId="165" fontId="12" fillId="0" borderId="0" xfId="2" applyNumberFormat="1" applyFont="1" applyBorder="1"/>
    <xf numFmtId="0" fontId="19" fillId="10" borderId="0" xfId="2" applyFont="1" applyFill="1" applyBorder="1" applyAlignment="1">
      <alignment vertical="center"/>
    </xf>
    <xf numFmtId="0" fontId="11" fillId="10" borderId="4" xfId="2" applyFont="1" applyFill="1" applyBorder="1" applyAlignment="1">
      <alignment vertical="center"/>
    </xf>
    <xf numFmtId="0" fontId="11" fillId="10" borderId="4" xfId="2" applyFont="1" applyFill="1" applyBorder="1" applyAlignment="1">
      <alignment horizontal="center" vertical="center"/>
    </xf>
    <xf numFmtId="0" fontId="22" fillId="0" borderId="3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23" fillId="0" borderId="0" xfId="2" applyFont="1" applyAlignment="1">
      <alignment horizontal="left"/>
    </xf>
    <xf numFmtId="0" fontId="12" fillId="0" borderId="0" xfId="2" applyFont="1" applyAlignment="1">
      <alignment horizontal="left"/>
    </xf>
    <xf numFmtId="166" fontId="23" fillId="0" borderId="3" xfId="2" applyNumberFormat="1" applyFont="1" applyBorder="1" applyAlignment="1">
      <alignment horizontal="center"/>
    </xf>
    <xf numFmtId="166" fontId="12" fillId="0" borderId="3" xfId="2" applyNumberFormat="1" applyFont="1" applyBorder="1" applyAlignment="1">
      <alignment horizontal="center"/>
    </xf>
    <xf numFmtId="166" fontId="23" fillId="0" borderId="0" xfId="2" applyNumberFormat="1" applyFont="1" applyBorder="1" applyAlignment="1">
      <alignment horizontal="center"/>
    </xf>
    <xf numFmtId="0" fontId="23" fillId="0" borderId="0" xfId="2" applyNumberFormat="1" applyFont="1" applyBorder="1" applyAlignment="1">
      <alignment horizontal="center"/>
    </xf>
    <xf numFmtId="166" fontId="12" fillId="0" borderId="0" xfId="2" applyNumberFormat="1" applyFont="1" applyBorder="1" applyAlignment="1">
      <alignment horizontal="center"/>
    </xf>
    <xf numFmtId="0" fontId="24" fillId="0" borderId="0" xfId="2" applyFont="1"/>
    <xf numFmtId="0" fontId="16" fillId="13" borderId="0" xfId="2" applyFont="1" applyFill="1" applyAlignment="1">
      <alignment horizontal="center"/>
    </xf>
    <xf numFmtId="0" fontId="12" fillId="0" borderId="0" xfId="2" applyFont="1" applyAlignment="1">
      <alignment horizontal="center"/>
    </xf>
    <xf numFmtId="0" fontId="12" fillId="0" borderId="0" xfId="2" applyFont="1"/>
    <xf numFmtId="0" fontId="14" fillId="0" borderId="0" xfId="1" applyAlignment="1" applyProtection="1"/>
    <xf numFmtId="0" fontId="12" fillId="11" borderId="0" xfId="2" applyFont="1" applyFill="1"/>
    <xf numFmtId="0" fontId="22" fillId="0" borderId="0" xfId="2" applyFont="1" applyBorder="1" applyAlignment="1">
      <alignment horizontal="left" vertical="center" wrapText="1"/>
    </xf>
    <xf numFmtId="0" fontId="22" fillId="0" borderId="5" xfId="2" applyFont="1" applyBorder="1" applyAlignment="1">
      <alignment horizontal="center" vertical="center" wrapText="1"/>
    </xf>
    <xf numFmtId="0" fontId="22" fillId="0" borderId="2" xfId="2" applyFont="1" applyBorder="1" applyAlignment="1">
      <alignment horizontal="left" vertical="center" wrapText="1"/>
    </xf>
    <xf numFmtId="0" fontId="22" fillId="0" borderId="6" xfId="2" applyFont="1" applyBorder="1" applyAlignment="1">
      <alignment horizontal="center" vertical="center" wrapText="1"/>
    </xf>
    <xf numFmtId="0" fontId="25" fillId="0" borderId="6" xfId="2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/>
    </xf>
    <xf numFmtId="0" fontId="26" fillId="0" borderId="2" xfId="2" applyFont="1" applyBorder="1" applyAlignment="1">
      <alignment horizontal="left" vertical="center" wrapText="1"/>
    </xf>
    <xf numFmtId="0" fontId="26" fillId="0" borderId="6" xfId="2" applyFont="1" applyBorder="1" applyAlignment="1">
      <alignment horizontal="center" vertical="center" wrapText="1"/>
    </xf>
    <xf numFmtId="0" fontId="26" fillId="0" borderId="6" xfId="2" applyFont="1" applyFill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vertical="center"/>
    </xf>
    <xf numFmtId="2" fontId="12" fillId="0" borderId="6" xfId="2" applyNumberFormat="1" applyFont="1" applyFill="1" applyBorder="1" applyAlignment="1">
      <alignment horizontal="center" vertical="center"/>
    </xf>
    <xf numFmtId="2" fontId="25" fillId="0" borderId="6" xfId="2" applyNumberFormat="1" applyFont="1" applyFill="1" applyBorder="1" applyAlignment="1">
      <alignment horizontal="center" vertical="center"/>
    </xf>
    <xf numFmtId="2" fontId="25" fillId="0" borderId="6" xfId="2" applyNumberFormat="1" applyFont="1" applyBorder="1" applyAlignment="1">
      <alignment horizontal="center" vertical="center"/>
    </xf>
    <xf numFmtId="0" fontId="25" fillId="0" borderId="6" xfId="2" applyFont="1" applyBorder="1" applyAlignment="1">
      <alignment horizontal="center" vertical="center"/>
    </xf>
    <xf numFmtId="0" fontId="26" fillId="0" borderId="0" xfId="2" applyFont="1" applyBorder="1" applyAlignment="1">
      <alignment horizontal="right" vertical="center" wrapText="1"/>
    </xf>
    <xf numFmtId="0" fontId="23" fillId="0" borderId="3" xfId="2" applyFont="1" applyBorder="1" applyAlignment="1">
      <alignment horizontal="center"/>
    </xf>
    <xf numFmtId="165" fontId="23" fillId="0" borderId="3" xfId="2" applyNumberFormat="1" applyFont="1" applyBorder="1" applyAlignment="1">
      <alignment horizontal="center"/>
    </xf>
    <xf numFmtId="0" fontId="23" fillId="0" borderId="0" xfId="2" applyFont="1" applyBorder="1" applyAlignment="1">
      <alignment horizontal="center"/>
    </xf>
    <xf numFmtId="164" fontId="12" fillId="0" borderId="0" xfId="2" applyNumberFormat="1" applyFont="1" applyBorder="1" applyAlignment="1">
      <alignment horizontal="center"/>
    </xf>
    <xf numFmtId="0" fontId="12" fillId="5" borderId="0" xfId="2" applyFont="1" applyFill="1" applyBorder="1"/>
    <xf numFmtId="168" fontId="12" fillId="11" borderId="0" xfId="2" applyNumberFormat="1" applyFont="1" applyFill="1"/>
    <xf numFmtId="0" fontId="9" fillId="0" borderId="0" xfId="2" applyFont="1" applyAlignment="1">
      <alignment horizontal="center"/>
    </xf>
    <xf numFmtId="0" fontId="11" fillId="10" borderId="7" xfId="2" applyFont="1" applyFill="1" applyBorder="1" applyAlignment="1">
      <alignment vertical="center"/>
    </xf>
    <xf numFmtId="0" fontId="19" fillId="10" borderId="7" xfId="2" applyFont="1" applyFill="1" applyBorder="1" applyAlignment="1">
      <alignment horizontal="center"/>
    </xf>
    <xf numFmtId="0" fontId="11" fillId="10" borderId="7" xfId="2" applyFont="1" applyFill="1" applyBorder="1" applyAlignment="1">
      <alignment horizontal="left" vertical="center"/>
    </xf>
    <xf numFmtId="0" fontId="9" fillId="0" borderId="0" xfId="2" applyFont="1"/>
    <xf numFmtId="169" fontId="12" fillId="11" borderId="0" xfId="2" applyNumberFormat="1" applyFont="1" applyFill="1" applyAlignment="1">
      <alignment horizontal="right"/>
    </xf>
    <xf numFmtId="0" fontId="27" fillId="0" borderId="0" xfId="2" applyFont="1"/>
    <xf numFmtId="166" fontId="12" fillId="11" borderId="0" xfId="2" applyNumberFormat="1" applyFont="1" applyFill="1" applyBorder="1" applyAlignment="1">
      <alignment horizontal="right"/>
    </xf>
    <xf numFmtId="0" fontId="12" fillId="11" borderId="0" xfId="2" applyFont="1" applyFill="1" applyBorder="1" applyAlignment="1">
      <alignment horizontal="left"/>
    </xf>
    <xf numFmtId="170" fontId="12" fillId="11" borderId="0" xfId="2" applyNumberFormat="1" applyFont="1" applyFill="1" applyAlignment="1">
      <alignment horizontal="right"/>
    </xf>
    <xf numFmtId="11" fontId="12" fillId="11" borderId="0" xfId="2" applyNumberFormat="1" applyFont="1" applyFill="1"/>
    <xf numFmtId="1" fontId="12" fillId="11" borderId="0" xfId="2" applyNumberFormat="1" applyFont="1" applyFill="1" applyBorder="1" applyAlignment="1">
      <alignment horizontal="right"/>
    </xf>
    <xf numFmtId="0" fontId="12" fillId="11" borderId="0" xfId="2" applyFont="1" applyFill="1" applyAlignment="1">
      <alignment horizontal="center"/>
    </xf>
    <xf numFmtId="0" fontId="28" fillId="11" borderId="0" xfId="2" applyFont="1" applyFill="1"/>
    <xf numFmtId="0" fontId="29" fillId="11" borderId="0" xfId="2" applyFont="1" applyFill="1"/>
    <xf numFmtId="0" fontId="29" fillId="6" borderId="0" xfId="2" applyFont="1" applyFill="1"/>
    <xf numFmtId="0" fontId="30" fillId="11" borderId="0" xfId="2" applyFont="1" applyFill="1"/>
    <xf numFmtId="0" fontId="29" fillId="14" borderId="0" xfId="2" applyFont="1" applyFill="1"/>
    <xf numFmtId="3" fontId="9" fillId="0" borderId="0" xfId="2" applyNumberFormat="1" applyFont="1"/>
    <xf numFmtId="171" fontId="12" fillId="11" borderId="0" xfId="2" applyNumberFormat="1" applyFont="1" applyFill="1"/>
    <xf numFmtId="0" fontId="31" fillId="11" borderId="0" xfId="2" applyFont="1" applyFill="1"/>
    <xf numFmtId="0" fontId="12" fillId="0" borderId="0" xfId="2" applyFont="1" applyFill="1"/>
    <xf numFmtId="0" fontId="12" fillId="0" borderId="0" xfId="2" applyFont="1" applyFill="1" applyAlignment="1">
      <alignment horizontal="right"/>
    </xf>
    <xf numFmtId="0" fontId="8" fillId="0" borderId="0" xfId="2" applyFont="1" applyFill="1"/>
    <xf numFmtId="0" fontId="16" fillId="11" borderId="0" xfId="2" applyFont="1" applyFill="1"/>
    <xf numFmtId="0" fontId="23" fillId="11" borderId="0" xfId="2" applyFont="1" applyFill="1" applyBorder="1"/>
    <xf numFmtId="0" fontId="11" fillId="10" borderId="0" xfId="2" applyFont="1" applyFill="1" applyBorder="1" applyAlignment="1">
      <alignment horizontal="left" vertical="center"/>
    </xf>
    <xf numFmtId="0" fontId="32" fillId="15" borderId="4" xfId="2" applyFont="1" applyFill="1" applyBorder="1" applyAlignment="1">
      <alignment horizontal="center" vertical="center"/>
    </xf>
    <xf numFmtId="167" fontId="12" fillId="5" borderId="0" xfId="2" applyNumberFormat="1" applyFont="1" applyFill="1" applyBorder="1" applyAlignment="1">
      <alignment horizontal="center"/>
    </xf>
    <xf numFmtId="167" fontId="30" fillId="5" borderId="0" xfId="2" applyNumberFormat="1" applyFont="1" applyFill="1" applyBorder="1" applyAlignment="1">
      <alignment horizontal="center"/>
    </xf>
    <xf numFmtId="0" fontId="12" fillId="15" borderId="0" xfId="2" applyFont="1" applyFill="1" applyBorder="1"/>
    <xf numFmtId="167" fontId="12" fillId="15" borderId="0" xfId="2" applyNumberFormat="1" applyFont="1" applyFill="1" applyBorder="1" applyAlignment="1">
      <alignment horizontal="center"/>
    </xf>
    <xf numFmtId="167" fontId="30" fillId="15" borderId="0" xfId="2" applyNumberFormat="1" applyFont="1" applyFill="1" applyBorder="1" applyAlignment="1">
      <alignment horizontal="center"/>
    </xf>
    <xf numFmtId="0" fontId="12" fillId="0" borderId="0" xfId="2" applyFont="1" applyFill="1" applyBorder="1"/>
    <xf numFmtId="167" fontId="12" fillId="0" borderId="0" xfId="2" applyNumberFormat="1" applyFont="1" applyFill="1" applyBorder="1" applyAlignment="1">
      <alignment horizontal="center"/>
    </xf>
    <xf numFmtId="167" fontId="30" fillId="0" borderId="0" xfId="2" applyNumberFormat="1" applyFont="1" applyFill="1" applyBorder="1" applyAlignment="1">
      <alignment horizontal="center"/>
    </xf>
    <xf numFmtId="167" fontId="12" fillId="0" borderId="0" xfId="2" applyNumberFormat="1" applyFont="1" applyFill="1" applyAlignment="1">
      <alignment horizontal="center"/>
    </xf>
    <xf numFmtId="167" fontId="30" fillId="0" borderId="0" xfId="2" applyNumberFormat="1" applyFont="1" applyFill="1" applyAlignment="1">
      <alignment horizontal="center"/>
    </xf>
    <xf numFmtId="172" fontId="30" fillId="5" borderId="0" xfId="2" applyNumberFormat="1" applyFont="1" applyFill="1" applyAlignment="1">
      <alignment horizontal="center"/>
    </xf>
    <xf numFmtId="172" fontId="12" fillId="0" borderId="0" xfId="2" applyNumberFormat="1" applyFont="1" applyFill="1" applyBorder="1" applyAlignment="1">
      <alignment horizontal="center"/>
    </xf>
    <xf numFmtId="172" fontId="30" fillId="0" borderId="0" xfId="2" applyNumberFormat="1" applyFont="1" applyFill="1" applyBorder="1" applyAlignment="1">
      <alignment horizontal="center"/>
    </xf>
    <xf numFmtId="172" fontId="12" fillId="0" borderId="0" xfId="2" applyNumberFormat="1" applyFont="1" applyFill="1" applyAlignment="1">
      <alignment horizontal="center"/>
    </xf>
    <xf numFmtId="172" fontId="30" fillId="0" borderId="0" xfId="2" applyNumberFormat="1" applyFont="1" applyFill="1" applyAlignment="1">
      <alignment horizontal="center"/>
    </xf>
    <xf numFmtId="172" fontId="12" fillId="5" borderId="0" xfId="2" applyNumberFormat="1" applyFont="1" applyFill="1" applyBorder="1" applyAlignment="1">
      <alignment horizontal="center"/>
    </xf>
    <xf numFmtId="172" fontId="30" fillId="5" borderId="0" xfId="2" applyNumberFormat="1" applyFont="1" applyFill="1" applyBorder="1" applyAlignment="1">
      <alignment horizontal="center"/>
    </xf>
    <xf numFmtId="172" fontId="12" fillId="5" borderId="0" xfId="2" applyNumberFormat="1" applyFont="1" applyFill="1" applyAlignment="1">
      <alignment horizontal="center"/>
    </xf>
    <xf numFmtId="166" fontId="12" fillId="0" borderId="0" xfId="2" applyNumberFormat="1" applyFont="1" applyFill="1" applyBorder="1" applyAlignment="1">
      <alignment horizontal="center"/>
    </xf>
    <xf numFmtId="166" fontId="30" fillId="0" borderId="0" xfId="2" applyNumberFormat="1" applyFont="1" applyFill="1" applyBorder="1" applyAlignment="1">
      <alignment horizontal="center"/>
    </xf>
    <xf numFmtId="166" fontId="12" fillId="0" borderId="0" xfId="2" applyNumberFormat="1" applyFont="1" applyFill="1" applyAlignment="1">
      <alignment horizontal="center"/>
    </xf>
    <xf numFmtId="166" fontId="30" fillId="0" borderId="0" xfId="2" applyNumberFormat="1" applyFont="1" applyFill="1" applyAlignment="1">
      <alignment horizontal="center"/>
    </xf>
    <xf numFmtId="166" fontId="12" fillId="5" borderId="0" xfId="2" applyNumberFormat="1" applyFont="1" applyFill="1" applyBorder="1" applyAlignment="1">
      <alignment horizontal="center"/>
    </xf>
    <xf numFmtId="166" fontId="30" fillId="5" borderId="0" xfId="2" applyNumberFormat="1" applyFont="1" applyFill="1" applyBorder="1" applyAlignment="1">
      <alignment horizontal="center"/>
    </xf>
    <xf numFmtId="166" fontId="12" fillId="5" borderId="0" xfId="2" applyNumberFormat="1" applyFont="1" applyFill="1" applyAlignment="1">
      <alignment horizontal="center"/>
    </xf>
    <xf numFmtId="166" fontId="30" fillId="5" borderId="0" xfId="2" applyNumberFormat="1" applyFont="1" applyFill="1" applyAlignment="1">
      <alignment horizontal="center"/>
    </xf>
    <xf numFmtId="166" fontId="12" fillId="11" borderId="0" xfId="2" applyNumberFormat="1" applyFont="1" applyFill="1"/>
    <xf numFmtId="0" fontId="11" fillId="10" borderId="0" xfId="2" applyFont="1" applyFill="1" applyBorder="1" applyAlignment="1">
      <alignment horizontal="right" vertical="center"/>
    </xf>
    <xf numFmtId="0" fontId="27" fillId="0" borderId="0" xfId="2" applyFont="1" applyFill="1" applyBorder="1"/>
    <xf numFmtId="9" fontId="12" fillId="0" borderId="0" xfId="2" applyNumberFormat="1" applyFont="1" applyFill="1" applyBorder="1"/>
    <xf numFmtId="172" fontId="30" fillId="11" borderId="0" xfId="2" applyNumberFormat="1" applyFont="1" applyFill="1" applyAlignment="1">
      <alignment horizontal="center"/>
    </xf>
    <xf numFmtId="0" fontId="27" fillId="0" borderId="0" xfId="2" applyFont="1" applyFill="1"/>
    <xf numFmtId="9" fontId="12" fillId="0" borderId="0" xfId="2" applyNumberFormat="1" applyFont="1" applyFill="1"/>
    <xf numFmtId="172" fontId="33" fillId="11" borderId="0" xfId="2" applyNumberFormat="1" applyFont="1" applyFill="1" applyAlignment="1">
      <alignment horizontal="right"/>
    </xf>
    <xf numFmtId="172" fontId="30" fillId="11" borderId="0" xfId="2" applyNumberFormat="1" applyFont="1" applyFill="1" applyAlignment="1">
      <alignment horizontal="right"/>
    </xf>
    <xf numFmtId="0" fontId="27" fillId="5" borderId="0" xfId="2" applyFont="1" applyFill="1" applyBorder="1"/>
    <xf numFmtId="9" fontId="12" fillId="5" borderId="0" xfId="2" applyNumberFormat="1" applyFont="1" applyFill="1" applyBorder="1"/>
    <xf numFmtId="172" fontId="30" fillId="16" borderId="0" xfId="2" applyNumberFormat="1" applyFont="1" applyFill="1" applyAlignment="1">
      <alignment horizontal="center"/>
    </xf>
    <xf numFmtId="172" fontId="30" fillId="16" borderId="0" xfId="2" applyNumberFormat="1" applyFont="1" applyFill="1" applyAlignment="1">
      <alignment horizontal="right"/>
    </xf>
    <xf numFmtId="172" fontId="33" fillId="16" borderId="0" xfId="2" applyNumberFormat="1" applyFont="1" applyFill="1" applyAlignment="1">
      <alignment horizontal="right"/>
    </xf>
    <xf numFmtId="0" fontId="12" fillId="12" borderId="0" xfId="2" applyFont="1" applyFill="1"/>
    <xf numFmtId="0" fontId="12" fillId="12" borderId="0" xfId="2" applyFont="1" applyFill="1" applyBorder="1"/>
    <xf numFmtId="0" fontId="27" fillId="12" borderId="0" xfId="2" applyFont="1" applyFill="1" applyBorder="1"/>
    <xf numFmtId="9" fontId="12" fillId="12" borderId="0" xfId="2" applyNumberFormat="1" applyFont="1" applyFill="1" applyBorder="1"/>
    <xf numFmtId="172" fontId="30" fillId="12" borderId="0" xfId="2" applyNumberFormat="1" applyFont="1" applyFill="1" applyAlignment="1">
      <alignment horizontal="center"/>
    </xf>
    <xf numFmtId="172" fontId="33" fillId="12" borderId="0" xfId="2" applyNumberFormat="1" applyFont="1" applyFill="1" applyAlignment="1">
      <alignment horizontal="right"/>
    </xf>
    <xf numFmtId="0" fontId="23" fillId="11" borderId="0" xfId="3" applyFont="1" applyFill="1" applyBorder="1"/>
    <xf numFmtId="164" fontId="23" fillId="11" borderId="0" xfId="2" applyNumberFormat="1" applyFont="1" applyFill="1" applyBorder="1" applyAlignment="1">
      <alignment horizontal="right"/>
    </xf>
    <xf numFmtId="0" fontId="12" fillId="11" borderId="0" xfId="3" applyFont="1" applyFill="1" applyBorder="1"/>
    <xf numFmtId="172" fontId="12" fillId="11" borderId="0" xfId="3" applyNumberFormat="1" applyFont="1" applyFill="1" applyBorder="1" applyAlignment="1">
      <alignment horizontal="center"/>
    </xf>
    <xf numFmtId="173" fontId="12" fillId="11" borderId="0" xfId="3" applyNumberFormat="1" applyFont="1" applyFill="1" applyBorder="1" applyAlignment="1">
      <alignment horizontal="center"/>
    </xf>
    <xf numFmtId="4" fontId="12" fillId="11" borderId="0" xfId="3" applyNumberFormat="1" applyFont="1" applyFill="1" applyBorder="1" applyAlignment="1">
      <alignment horizontal="right"/>
    </xf>
    <xf numFmtId="0" fontId="34" fillId="17" borderId="0" xfId="2" applyFont="1" applyFill="1"/>
    <xf numFmtId="0" fontId="23" fillId="17" borderId="0" xfId="2" applyFont="1" applyFill="1"/>
    <xf numFmtId="0" fontId="35" fillId="0" borderId="0" xfId="2" applyFont="1"/>
    <xf numFmtId="173" fontId="35" fillId="0" borderId="0" xfId="2" applyNumberFormat="1" applyFont="1" applyAlignment="1">
      <alignment horizontal="center"/>
    </xf>
    <xf numFmtId="0" fontId="35" fillId="0" borderId="0" xfId="2" applyFont="1" applyAlignment="1">
      <alignment horizontal="left"/>
    </xf>
    <xf numFmtId="0" fontId="36" fillId="0" borderId="0" xfId="2" applyFont="1" applyAlignment="1">
      <alignment horizontal="left"/>
    </xf>
    <xf numFmtId="0" fontId="17" fillId="0" borderId="0" xfId="2"/>
    <xf numFmtId="0" fontId="12" fillId="0" borderId="0" xfId="2" applyFont="1" applyAlignment="1">
      <alignment vertical="center"/>
    </xf>
    <xf numFmtId="0" fontId="5" fillId="0" borderId="0" xfId="4" applyFont="1"/>
    <xf numFmtId="0" fontId="37" fillId="11" borderId="0" xfId="2" applyFont="1" applyFill="1"/>
    <xf numFmtId="0" fontId="10" fillId="0" borderId="0" xfId="2" applyFont="1"/>
    <xf numFmtId="0" fontId="11" fillId="18" borderId="0" xfId="2" applyFont="1" applyFill="1" applyAlignment="1">
      <alignment vertical="center"/>
    </xf>
    <xf numFmtId="0" fontId="11" fillId="18" borderId="0" xfId="2" applyFont="1" applyFill="1" applyAlignment="1">
      <alignment horizontal="center" vertical="center" wrapText="1"/>
    </xf>
    <xf numFmtId="0" fontId="11" fillId="18" borderId="0" xfId="2" applyFont="1" applyFill="1" applyAlignment="1">
      <alignment horizontal="left" vertical="center"/>
    </xf>
    <xf numFmtId="0" fontId="10" fillId="18" borderId="0" xfId="2" applyFont="1" applyFill="1"/>
    <xf numFmtId="0" fontId="38" fillId="0" borderId="0" xfId="2" applyFont="1"/>
    <xf numFmtId="3" fontId="38" fillId="0" borderId="0" xfId="2" applyNumberFormat="1" applyFont="1" applyAlignment="1">
      <alignment horizontal="center"/>
    </xf>
    <xf numFmtId="0" fontId="38" fillId="0" borderId="0" xfId="2" applyFont="1" applyAlignment="1">
      <alignment horizontal="left"/>
    </xf>
    <xf numFmtId="0" fontId="40" fillId="0" borderId="0" xfId="1" applyFont="1" applyAlignment="1" applyProtection="1"/>
    <xf numFmtId="0" fontId="38" fillId="0" borderId="0" xfId="2" applyFont="1" applyAlignment="1">
      <alignment vertical="center"/>
    </xf>
    <xf numFmtId="170" fontId="38" fillId="0" borderId="0" xfId="2" applyNumberFormat="1" applyFont="1" applyAlignment="1">
      <alignment horizontal="center"/>
    </xf>
    <xf numFmtId="0" fontId="41" fillId="0" borderId="0" xfId="2" applyFont="1" applyAlignment="1">
      <alignment vertical="center"/>
    </xf>
    <xf numFmtId="0" fontId="42" fillId="11" borderId="0" xfId="2" applyFont="1" applyFill="1"/>
    <xf numFmtId="0" fontId="42" fillId="11" borderId="0" xfId="2" applyFont="1" applyFill="1" applyAlignment="1">
      <alignment horizontal="center"/>
    </xf>
    <xf numFmtId="0" fontId="19" fillId="6" borderId="8" xfId="2" applyFont="1" applyFill="1" applyBorder="1" applyAlignment="1">
      <alignment horizontal="left"/>
    </xf>
    <xf numFmtId="0" fontId="19" fillId="6" borderId="8" xfId="2" applyFont="1" applyFill="1" applyBorder="1" applyAlignment="1">
      <alignment horizontal="center"/>
    </xf>
    <xf numFmtId="0" fontId="19" fillId="6" borderId="8" xfId="2" applyFont="1" applyFill="1" applyBorder="1" applyAlignment="1">
      <alignment horizontal="centerContinuous"/>
    </xf>
    <xf numFmtId="0" fontId="19" fillId="6" borderId="8" xfId="2" applyFont="1" applyFill="1" applyBorder="1"/>
    <xf numFmtId="0" fontId="12" fillId="11" borderId="8" xfId="2" applyFont="1" applyFill="1" applyBorder="1"/>
    <xf numFmtId="167" fontId="12" fillId="11" borderId="8" xfId="2" applyNumberFormat="1" applyFont="1" applyFill="1" applyBorder="1" applyAlignment="1">
      <alignment horizontal="center"/>
    </xf>
    <xf numFmtId="172" fontId="12" fillId="11" borderId="8" xfId="2" applyNumberFormat="1" applyFont="1" applyFill="1" applyBorder="1"/>
    <xf numFmtId="0" fontId="16" fillId="11" borderId="0" xfId="2" applyFont="1" applyFill="1" applyAlignment="1">
      <alignment vertical="top"/>
    </xf>
    <xf numFmtId="0" fontId="16" fillId="0" borderId="9" xfId="2" applyFont="1" applyBorder="1" applyAlignment="1">
      <alignment vertical="top" wrapText="1"/>
    </xf>
    <xf numFmtId="0" fontId="16" fillId="11" borderId="0" xfId="2" applyFont="1" applyFill="1" applyAlignment="1">
      <alignment horizontal="right"/>
    </xf>
    <xf numFmtId="166" fontId="23" fillId="11" borderId="0" xfId="2" applyNumberFormat="1" applyFont="1" applyFill="1" applyBorder="1" applyAlignment="1">
      <alignment horizontal="right"/>
    </xf>
    <xf numFmtId="0" fontId="23" fillId="11" borderId="10" xfId="2" applyFont="1" applyFill="1" applyBorder="1" applyAlignment="1">
      <alignment horizontal="left"/>
    </xf>
    <xf numFmtId="0" fontId="23" fillId="11" borderId="11" xfId="2" applyFont="1" applyFill="1" applyBorder="1" applyAlignment="1">
      <alignment horizontal="left"/>
    </xf>
    <xf numFmtId="0" fontId="12" fillId="11" borderId="11" xfId="2" applyFont="1" applyFill="1" applyBorder="1" applyAlignment="1">
      <alignment horizontal="centerContinuous"/>
    </xf>
    <xf numFmtId="0" fontId="12" fillId="11" borderId="11" xfId="2" applyFont="1" applyFill="1" applyBorder="1" applyAlignment="1">
      <alignment horizontal="center"/>
    </xf>
    <xf numFmtId="0" fontId="23" fillId="11" borderId="12" xfId="2" applyFont="1" applyFill="1" applyBorder="1" applyAlignment="1">
      <alignment horizontal="centerContinuous"/>
    </xf>
    <xf numFmtId="0" fontId="12" fillId="11" borderId="10" xfId="2" applyFont="1" applyFill="1" applyBorder="1"/>
    <xf numFmtId="0" fontId="12" fillId="11" borderId="11" xfId="2" applyFont="1" applyFill="1" applyBorder="1"/>
    <xf numFmtId="0" fontId="12" fillId="11" borderId="12" xfId="2" applyFont="1" applyFill="1" applyBorder="1" applyAlignment="1">
      <alignment horizontal="center"/>
    </xf>
    <xf numFmtId="0" fontId="12" fillId="11" borderId="12" xfId="2" applyFont="1" applyFill="1" applyBorder="1"/>
    <xf numFmtId="164" fontId="12" fillId="11" borderId="10" xfId="2" applyNumberFormat="1" applyFont="1" applyFill="1" applyBorder="1"/>
    <xf numFmtId="0" fontId="19" fillId="6" borderId="13" xfId="2" applyFont="1" applyFill="1" applyBorder="1" applyAlignment="1">
      <alignment horizontal="left"/>
    </xf>
    <xf numFmtId="0" fontId="19" fillId="6" borderId="9" xfId="2" applyFont="1" applyFill="1" applyBorder="1" applyAlignment="1">
      <alignment horizontal="left"/>
    </xf>
    <xf numFmtId="0" fontId="19" fillId="6" borderId="11" xfId="2" applyFont="1" applyFill="1" applyBorder="1" applyAlignment="1">
      <alignment horizontal="centerContinuous"/>
    </xf>
    <xf numFmtId="0" fontId="19" fillId="6" borderId="11" xfId="2" applyFont="1" applyFill="1" applyBorder="1" applyAlignment="1">
      <alignment horizontal="center"/>
    </xf>
    <xf numFmtId="0" fontId="43" fillId="6" borderId="11" xfId="2" applyFont="1" applyFill="1" applyBorder="1" applyAlignment="1">
      <alignment horizontal="centerContinuous"/>
    </xf>
    <xf numFmtId="0" fontId="43" fillId="6" borderId="12" xfId="2" applyFont="1" applyFill="1" applyBorder="1" applyAlignment="1">
      <alignment horizontal="centerContinuous"/>
    </xf>
    <xf numFmtId="0" fontId="43" fillId="6" borderId="14" xfId="2" applyFont="1" applyFill="1" applyBorder="1"/>
    <xf numFmtId="0" fontId="43" fillId="6" borderId="14" xfId="2" applyFont="1" applyFill="1" applyBorder="1" applyAlignment="1">
      <alignment horizontal="center"/>
    </xf>
    <xf numFmtId="0" fontId="43" fillId="6" borderId="15" xfId="2" applyFont="1" applyFill="1" applyBorder="1"/>
    <xf numFmtId="0" fontId="43" fillId="6" borderId="15" xfId="2" applyFont="1" applyFill="1" applyBorder="1" applyAlignment="1">
      <alignment horizontal="center"/>
    </xf>
    <xf numFmtId="0" fontId="12" fillId="11" borderId="16" xfId="2" applyFont="1" applyFill="1" applyBorder="1"/>
    <xf numFmtId="0" fontId="12" fillId="11" borderId="8" xfId="2" applyFont="1" applyFill="1" applyBorder="1" applyAlignment="1">
      <alignment horizontal="center"/>
    </xf>
    <xf numFmtId="166" fontId="12" fillId="11" borderId="8" xfId="2" applyNumberFormat="1" applyFont="1" applyFill="1" applyBorder="1" applyAlignment="1">
      <alignment horizontal="center"/>
    </xf>
    <xf numFmtId="0" fontId="15" fillId="11" borderId="0" xfId="1" applyFont="1" applyFill="1" applyAlignment="1" applyProtection="1"/>
    <xf numFmtId="0" fontId="15" fillId="0" borderId="0" xfId="1" applyFont="1" applyAlignment="1" applyProtection="1"/>
    <xf numFmtId="0" fontId="23" fillId="11" borderId="0" xfId="3" quotePrefix="1" applyFont="1" applyFill="1" applyBorder="1" applyAlignment="1">
      <alignment horizontal="left"/>
    </xf>
    <xf numFmtId="0" fontId="8" fillId="11" borderId="0" xfId="2" applyFont="1" applyFill="1" applyBorder="1" applyAlignment="1">
      <alignment horizontal="right"/>
    </xf>
    <xf numFmtId="0" fontId="8" fillId="11" borderId="0" xfId="2" applyFont="1" applyFill="1" applyAlignment="1">
      <alignment horizontal="right"/>
    </xf>
    <xf numFmtId="0" fontId="11" fillId="10" borderId="0" xfId="2" applyFont="1" applyFill="1" applyBorder="1" applyAlignment="1">
      <alignment horizontal="left" vertical="center" wrapText="1"/>
    </xf>
    <xf numFmtId="0" fontId="11" fillId="10" borderId="0" xfId="2" applyFont="1" applyFill="1" applyBorder="1" applyAlignment="1">
      <alignment horizontal="center" vertical="center"/>
    </xf>
    <xf numFmtId="0" fontId="11" fillId="10" borderId="0" xfId="2" applyFont="1" applyFill="1" applyAlignment="1">
      <alignment horizontal="right" vertical="center"/>
    </xf>
    <xf numFmtId="0" fontId="27" fillId="11" borderId="0" xfId="2" applyFont="1" applyFill="1"/>
    <xf numFmtId="0" fontId="12" fillId="19" borderId="0" xfId="2" applyFont="1" applyFill="1" applyBorder="1"/>
    <xf numFmtId="9" fontId="12" fillId="19" borderId="0" xfId="2" applyNumberFormat="1" applyFont="1" applyFill="1" applyBorder="1"/>
    <xf numFmtId="174" fontId="12" fillId="19" borderId="0" xfId="2" applyNumberFormat="1" applyFont="1" applyFill="1" applyBorder="1"/>
    <xf numFmtId="170" fontId="12" fillId="19" borderId="0" xfId="2" applyNumberFormat="1" applyFont="1" applyFill="1" applyBorder="1"/>
    <xf numFmtId="3" fontId="23" fillId="8" borderId="0" xfId="2" applyNumberFormat="1" applyFont="1" applyFill="1" applyBorder="1"/>
    <xf numFmtId="0" fontId="12" fillId="19" borderId="0" xfId="2" applyFont="1" applyFill="1" applyBorder="1" applyAlignment="1">
      <alignment horizontal="center"/>
    </xf>
    <xf numFmtId="0" fontId="27" fillId="19" borderId="0" xfId="2" applyFont="1" applyFill="1" applyBorder="1" applyAlignment="1">
      <alignment vertical="center"/>
    </xf>
    <xf numFmtId="164" fontId="27" fillId="19" borderId="0" xfId="2" applyNumberFormat="1" applyFont="1" applyFill="1" applyBorder="1" applyAlignment="1">
      <alignment vertical="center"/>
    </xf>
    <xf numFmtId="0" fontId="27" fillId="19" borderId="0" xfId="1" applyFont="1" applyFill="1" applyBorder="1" applyAlignment="1" applyProtection="1">
      <alignment vertical="center"/>
    </xf>
    <xf numFmtId="0" fontId="27" fillId="19" borderId="0" xfId="2" applyFont="1" applyFill="1" applyBorder="1"/>
    <xf numFmtId="174" fontId="23" fillId="8" borderId="0" xfId="2" applyNumberFormat="1" applyFont="1" applyFill="1" applyBorder="1"/>
    <xf numFmtId="172" fontId="12" fillId="0" borderId="0" xfId="2" applyNumberFormat="1" applyFont="1" applyFill="1" applyBorder="1"/>
    <xf numFmtId="165" fontId="12" fillId="0" borderId="0" xfId="2" applyNumberFormat="1" applyFont="1" applyFill="1" applyBorder="1"/>
    <xf numFmtId="3" fontId="12" fillId="8" borderId="0" xfId="2" applyNumberFormat="1" applyFont="1" applyFill="1" applyBorder="1"/>
    <xf numFmtId="0" fontId="12" fillId="0" borderId="0" xfId="2" applyFont="1" applyFill="1" applyBorder="1" applyAlignment="1">
      <alignment horizontal="center"/>
    </xf>
    <xf numFmtId="0" fontId="27" fillId="0" borderId="0" xfId="2" applyFont="1" applyFill="1" applyBorder="1" applyAlignment="1">
      <alignment vertical="center"/>
    </xf>
    <xf numFmtId="164" fontId="27" fillId="0" borderId="0" xfId="2" applyNumberFormat="1" applyFont="1" applyFill="1" applyAlignment="1">
      <alignment vertical="center"/>
    </xf>
    <xf numFmtId="164" fontId="27" fillId="0" borderId="0" xfId="2" applyNumberFormat="1" applyFont="1" applyFill="1" applyBorder="1" applyAlignment="1">
      <alignment vertical="center"/>
    </xf>
    <xf numFmtId="0" fontId="44" fillId="0" borderId="0" xfId="1" applyFont="1" applyFill="1" applyBorder="1" applyAlignment="1" applyProtection="1">
      <alignment vertical="center"/>
    </xf>
    <xf numFmtId="172" fontId="12" fillId="0" borderId="0" xfId="2" applyNumberFormat="1" applyFont="1" applyFill="1"/>
    <xf numFmtId="165" fontId="12" fillId="0" borderId="0" xfId="2" applyNumberFormat="1" applyFont="1" applyFill="1"/>
    <xf numFmtId="0" fontId="12" fillId="0" borderId="0" xfId="2" applyFont="1" applyFill="1" applyAlignment="1">
      <alignment horizontal="center"/>
    </xf>
    <xf numFmtId="0" fontId="27" fillId="0" borderId="0" xfId="2" applyFont="1" applyFill="1" applyAlignment="1">
      <alignment vertical="center"/>
    </xf>
    <xf numFmtId="0" fontId="44" fillId="0" borderId="0" xfId="1" applyFont="1" applyFill="1" applyAlignment="1" applyProtection="1">
      <alignment vertical="center"/>
    </xf>
    <xf numFmtId="3" fontId="30" fillId="8" borderId="0" xfId="2" applyNumberFormat="1" applyFont="1" applyFill="1" applyBorder="1"/>
    <xf numFmtId="0" fontId="27" fillId="0" borderId="0" xfId="1" applyFont="1" applyFill="1" applyAlignment="1" applyProtection="1">
      <alignment vertical="center"/>
    </xf>
    <xf numFmtId="0" fontId="27" fillId="0" borderId="0" xfId="2" applyFont="1" applyFill="1" applyAlignment="1"/>
    <xf numFmtId="172" fontId="12" fillId="5" borderId="0" xfId="2" applyNumberFormat="1" applyFont="1" applyFill="1" applyBorder="1"/>
    <xf numFmtId="165" fontId="12" fillId="5" borderId="0" xfId="2" applyNumberFormat="1" applyFont="1" applyFill="1" applyBorder="1"/>
    <xf numFmtId="0" fontId="12" fillId="5" borderId="0" xfId="2" applyFont="1" applyFill="1" applyBorder="1" applyAlignment="1">
      <alignment horizontal="center"/>
    </xf>
    <xf numFmtId="172" fontId="12" fillId="5" borderId="0" xfId="2" applyNumberFormat="1" applyFont="1" applyFill="1"/>
    <xf numFmtId="165" fontId="12" fillId="5" borderId="0" xfId="2" applyNumberFormat="1" applyFont="1" applyFill="1"/>
    <xf numFmtId="172" fontId="12" fillId="16" borderId="0" xfId="2" applyNumberFormat="1" applyFont="1" applyFill="1" applyAlignment="1">
      <alignment horizontal="center"/>
    </xf>
    <xf numFmtId="0" fontId="23" fillId="11" borderId="0" xfId="2" applyFont="1" applyFill="1"/>
    <xf numFmtId="0" fontId="82" fillId="76" borderId="33" xfId="0" applyFont="1" applyFill="1" applyBorder="1" applyAlignment="1">
      <alignment horizontal="left" vertical="center" wrapText="1"/>
    </xf>
    <xf numFmtId="0" fontId="83" fillId="75" borderId="0" xfId="0" applyFont="1" applyFill="1" applyAlignment="1">
      <alignment horizontal="left" vertical="top" wrapText="1"/>
    </xf>
    <xf numFmtId="0" fontId="83" fillId="77" borderId="34" xfId="0" applyFont="1" applyFill="1" applyBorder="1" applyAlignment="1">
      <alignment horizontal="left" vertical="top" wrapText="1"/>
    </xf>
    <xf numFmtId="0" fontId="83" fillId="75" borderId="34" xfId="0" applyFont="1" applyFill="1" applyBorder="1" applyAlignment="1">
      <alignment horizontal="left" vertical="top" wrapText="1"/>
    </xf>
    <xf numFmtId="0" fontId="83" fillId="78" borderId="34" xfId="0" applyFont="1" applyFill="1" applyBorder="1" applyAlignment="1">
      <alignment horizontal="left" vertical="top" wrapText="1"/>
    </xf>
    <xf numFmtId="0" fontId="84" fillId="0" borderId="0" xfId="0" applyFont="1"/>
    <xf numFmtId="0" fontId="0" fillId="0" borderId="32" xfId="0" applyBorder="1"/>
    <xf numFmtId="2" fontId="83" fillId="75" borderId="0" xfId="0" applyNumberFormat="1" applyFont="1" applyFill="1" applyAlignment="1">
      <alignment horizontal="left" vertical="top" wrapText="1"/>
    </xf>
    <xf numFmtId="0" fontId="85" fillId="0" borderId="0" xfId="0" applyFont="1"/>
    <xf numFmtId="0" fontId="86" fillId="0" borderId="0" xfId="0" applyFont="1"/>
    <xf numFmtId="0" fontId="0" fillId="9" borderId="0" xfId="0" applyFill="1" applyAlignment="1">
      <alignment horizontal="center" vertical="center"/>
    </xf>
    <xf numFmtId="0" fontId="3" fillId="9" borderId="0" xfId="0" applyFont="1" applyFill="1" applyAlignment="1">
      <alignment horizontal="center" vertical="center"/>
    </xf>
    <xf numFmtId="0" fontId="2" fillId="79" borderId="0" xfId="0" applyFont="1" applyFill="1" applyAlignment="1">
      <alignment horizontal="center" vertical="center"/>
    </xf>
    <xf numFmtId="0" fontId="89" fillId="9" borderId="0" xfId="0" applyFont="1" applyFill="1" applyAlignment="1">
      <alignment horizontal="center"/>
    </xf>
    <xf numFmtId="164" fontId="0" fillId="4" borderId="1" xfId="0" applyNumberFormat="1" applyFill="1" applyBorder="1" applyAlignment="1">
      <alignment horizontal="center" vertical="center"/>
    </xf>
    <xf numFmtId="0" fontId="87" fillId="9" borderId="0" xfId="0" applyFont="1" applyFill="1"/>
    <xf numFmtId="0" fontId="3" fillId="9" borderId="0" xfId="0" applyFont="1" applyFill="1" applyAlignment="1">
      <alignment vertical="center" wrapText="1"/>
    </xf>
    <xf numFmtId="0" fontId="0" fillId="0" borderId="0" xfId="0" applyBorder="1"/>
    <xf numFmtId="0" fontId="3" fillId="0" borderId="0" xfId="0" applyFont="1" applyBorder="1"/>
    <xf numFmtId="0" fontId="3" fillId="0" borderId="0" xfId="0" applyFont="1" applyFill="1" applyBorder="1"/>
    <xf numFmtId="0" fontId="4" fillId="3" borderId="40" xfId="0" applyFont="1" applyFill="1" applyBorder="1" applyAlignment="1">
      <alignment horizontal="center" vertical="center"/>
    </xf>
    <xf numFmtId="0" fontId="4" fillId="3" borderId="0" xfId="0" applyFont="1" applyFill="1"/>
    <xf numFmtId="0" fontId="90" fillId="0" borderId="0" xfId="1" applyFont="1" applyAlignment="1" applyProtection="1"/>
    <xf numFmtId="0" fontId="2" fillId="80" borderId="0" xfId="0" applyFont="1" applyFill="1" applyAlignment="1">
      <alignment horizontal="center" vertical="center"/>
    </xf>
    <xf numFmtId="0" fontId="0" fillId="80" borderId="0" xfId="0" applyFill="1"/>
    <xf numFmtId="0" fontId="91" fillId="81" borderId="41" xfId="0" applyFont="1" applyFill="1" applyBorder="1" applyAlignment="1">
      <alignment horizontal="center" vertical="center" wrapText="1"/>
    </xf>
    <xf numFmtId="0" fontId="93" fillId="82" borderId="41" xfId="0" applyFont="1" applyFill="1" applyBorder="1" applyAlignment="1">
      <alignment horizontal="center" vertical="center" wrapText="1"/>
    </xf>
    <xf numFmtId="0" fontId="93" fillId="75" borderId="4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0" fillId="3" borderId="0" xfId="0" applyFill="1"/>
    <xf numFmtId="2" fontId="88" fillId="4" borderId="1" xfId="0" applyNumberFormat="1" applyFont="1" applyFill="1" applyBorder="1" applyAlignment="1">
      <alignment horizontal="center" vertical="center"/>
    </xf>
    <xf numFmtId="2" fontId="81" fillId="4" borderId="1" xfId="0" applyNumberFormat="1" applyFont="1" applyFill="1" applyBorder="1" applyAlignment="1">
      <alignment horizontal="center" vertical="center"/>
    </xf>
    <xf numFmtId="2" fontId="87" fillId="83" borderId="1" xfId="0" applyNumberFormat="1" applyFont="1" applyFill="1" applyBorder="1" applyAlignment="1">
      <alignment horizontal="center" vertical="center"/>
    </xf>
    <xf numFmtId="2" fontId="88" fillId="83" borderId="1" xfId="0" applyNumberFormat="1" applyFont="1" applyFill="1" applyBorder="1" applyAlignment="1">
      <alignment horizontal="center" vertical="center"/>
    </xf>
    <xf numFmtId="0" fontId="94" fillId="9" borderId="0" xfId="0" applyFont="1" applyFill="1"/>
    <xf numFmtId="0" fontId="95" fillId="9" borderId="0" xfId="0" applyFont="1" applyFill="1"/>
    <xf numFmtId="0" fontId="0" fillId="9" borderId="0" xfId="0" applyFill="1" applyProtection="1"/>
    <xf numFmtId="0" fontId="3" fillId="9" borderId="0" xfId="0" applyFont="1" applyFill="1" applyProtection="1"/>
    <xf numFmtId="0" fontId="3" fillId="9" borderId="0" xfId="0" applyFont="1" applyFill="1" applyAlignment="1" applyProtection="1">
      <alignment wrapText="1"/>
    </xf>
    <xf numFmtId="0" fontId="2" fillId="3" borderId="0" xfId="0" applyFont="1" applyFill="1" applyProtection="1"/>
    <xf numFmtId="0" fontId="3" fillId="9" borderId="0" xfId="0" applyFont="1" applyFill="1" applyAlignment="1" applyProtection="1">
      <alignment vertical="center" wrapText="1"/>
    </xf>
    <xf numFmtId="0" fontId="2" fillId="80" borderId="0" xfId="0" applyFont="1" applyFill="1" applyProtection="1"/>
    <xf numFmtId="0" fontId="2" fillId="79" borderId="0" xfId="0" applyFont="1" applyFill="1" applyProtection="1"/>
    <xf numFmtId="0" fontId="87" fillId="9" borderId="0" xfId="0" applyFont="1" applyFill="1" applyAlignment="1" applyProtection="1">
      <alignment wrapText="1"/>
    </xf>
    <xf numFmtId="0" fontId="80" fillId="9" borderId="0" xfId="0" applyFont="1" applyFill="1" applyAlignment="1" applyProtection="1">
      <alignment wrapText="1"/>
    </xf>
    <xf numFmtId="0" fontId="87" fillId="9" borderId="0" xfId="0" applyFont="1" applyFill="1" applyProtection="1"/>
    <xf numFmtId="0" fontId="88" fillId="9" borderId="0" xfId="0" applyFont="1" applyFill="1" applyAlignment="1" applyProtection="1">
      <alignment wrapText="1"/>
    </xf>
    <xf numFmtId="0" fontId="0" fillId="0" borderId="35" xfId="0" applyFill="1" applyBorder="1" applyAlignment="1" applyProtection="1">
      <alignment horizontal="center" vertical="center"/>
      <protection locked="0"/>
    </xf>
    <xf numFmtId="0" fontId="0" fillId="0" borderId="39" xfId="0" applyFill="1" applyBorder="1" applyAlignment="1" applyProtection="1">
      <alignment horizontal="center" vertical="center"/>
      <protection locked="0"/>
    </xf>
    <xf numFmtId="0" fontId="95" fillId="9" borderId="0" xfId="0" applyFont="1" applyFill="1" applyProtection="1"/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36" xfId="0" applyFill="1" applyBorder="1" applyAlignment="1" applyProtection="1">
      <alignment horizontal="center" vertical="center" wrapText="1"/>
      <protection locked="0"/>
    </xf>
    <xf numFmtId="0" fontId="0" fillId="0" borderId="37" xfId="0" applyFill="1" applyBorder="1" applyAlignment="1" applyProtection="1">
      <alignment horizontal="center" vertical="center" wrapText="1"/>
      <protection locked="0"/>
    </xf>
    <xf numFmtId="0" fontId="0" fillId="0" borderId="38" xfId="0" applyFill="1" applyBorder="1" applyAlignment="1" applyProtection="1">
      <alignment horizontal="center" vertical="center" wrapText="1"/>
      <protection locked="0"/>
    </xf>
    <xf numFmtId="0" fontId="0" fillId="0" borderId="36" xfId="0" applyFill="1" applyBorder="1" applyAlignment="1" applyProtection="1">
      <alignment horizontal="center" vertical="center"/>
      <protection locked="0"/>
    </xf>
    <xf numFmtId="0" fontId="0" fillId="0" borderId="37" xfId="0" applyFill="1" applyBorder="1" applyAlignment="1" applyProtection="1">
      <alignment horizontal="center" vertical="center"/>
      <protection locked="0"/>
    </xf>
    <xf numFmtId="0" fontId="0" fillId="0" borderId="38" xfId="0" applyFill="1" applyBorder="1" applyAlignment="1" applyProtection="1">
      <alignment horizontal="center" vertical="center"/>
      <protection locked="0"/>
    </xf>
    <xf numFmtId="0" fontId="11" fillId="10" borderId="0" xfId="2" applyFont="1" applyFill="1" applyBorder="1" applyAlignment="1">
      <alignment vertical="center"/>
    </xf>
    <xf numFmtId="0" fontId="15" fillId="0" borderId="0" xfId="1" applyFont="1" applyBorder="1" applyAlignment="1" applyProtection="1"/>
  </cellXfs>
  <cellStyles count="160">
    <cellStyle name="20% - Accent1 2" xfId="5"/>
    <cellStyle name="20% - Accent2 2" xfId="6"/>
    <cellStyle name="20% - Accent3 2" xfId="7"/>
    <cellStyle name="20% - Accent4 2" xfId="8"/>
    <cellStyle name="20% - Accent5 2" xfId="9"/>
    <cellStyle name="20% - Accent6 2" xfId="10"/>
    <cellStyle name="40% - Accent1 2" xfId="11"/>
    <cellStyle name="40% - Accent2 2" xfId="12"/>
    <cellStyle name="40% - Accent3 2" xfId="13"/>
    <cellStyle name="40% - Accent4 2" xfId="14"/>
    <cellStyle name="40% - Accent5 2" xfId="15"/>
    <cellStyle name="40% - Accent6 2" xfId="16"/>
    <cellStyle name="5x indented GHG Textfiels" xfId="17"/>
    <cellStyle name="60% - Accent1 2" xfId="18"/>
    <cellStyle name="60% - Accent2 2" xfId="19"/>
    <cellStyle name="60% - Accent3 2" xfId="20"/>
    <cellStyle name="60% - Accent4 2" xfId="21"/>
    <cellStyle name="60% - Accent5 2" xfId="22"/>
    <cellStyle name="60% - Accent6 2" xfId="23"/>
    <cellStyle name="Accent1 - 20%" xfId="24"/>
    <cellStyle name="Accent1 - 40%" xfId="25"/>
    <cellStyle name="Accent1 - 60%" xfId="26"/>
    <cellStyle name="Accent1 2" xfId="27"/>
    <cellStyle name="Accent1 3" xfId="28"/>
    <cellStyle name="Accent2 - 20%" xfId="29"/>
    <cellStyle name="Accent2 - 40%" xfId="30"/>
    <cellStyle name="Accent2 - 60%" xfId="31"/>
    <cellStyle name="Accent2 2" xfId="32"/>
    <cellStyle name="Accent2 3" xfId="33"/>
    <cellStyle name="Accent3 - 20%" xfId="34"/>
    <cellStyle name="Accent3 - 40%" xfId="35"/>
    <cellStyle name="Accent3 - 60%" xfId="36"/>
    <cellStyle name="Accent3 2" xfId="37"/>
    <cellStyle name="Accent3 3" xfId="38"/>
    <cellStyle name="Accent4 - 20%" xfId="39"/>
    <cellStyle name="Accent4 - 40%" xfId="40"/>
    <cellStyle name="Accent4 - 60%" xfId="41"/>
    <cellStyle name="Accent4 2" xfId="42"/>
    <cellStyle name="Accent4 3" xfId="43"/>
    <cellStyle name="Accent4 4" xfId="44"/>
    <cellStyle name="Accent4 5" xfId="45"/>
    <cellStyle name="Accent4 6" xfId="46"/>
    <cellStyle name="Accent4 7" xfId="47"/>
    <cellStyle name="Accent4 8" xfId="48"/>
    <cellStyle name="Accent4 9" xfId="49"/>
    <cellStyle name="Accent5 - 20%" xfId="50"/>
    <cellStyle name="Accent5 - 40%" xfId="51"/>
    <cellStyle name="Accent5 - 60%" xfId="52"/>
    <cellStyle name="Accent5 2" xfId="53"/>
    <cellStyle name="Accent5 3" xfId="54"/>
    <cellStyle name="Accent6 - 20%" xfId="55"/>
    <cellStyle name="Accent6 - 40%" xfId="56"/>
    <cellStyle name="Accent6 - 60%" xfId="57"/>
    <cellStyle name="Accent6 2" xfId="58"/>
    <cellStyle name="Accent6 3" xfId="59"/>
    <cellStyle name="Bad 2" xfId="60"/>
    <cellStyle name="Bold GHG Numbers (0.00)" xfId="61"/>
    <cellStyle name="Calculation 2" xfId="62"/>
    <cellStyle name="Check Cell 2" xfId="63"/>
    <cellStyle name="Comma 2" xfId="64"/>
    <cellStyle name="Comma 2 2" xfId="65"/>
    <cellStyle name="Comma 2 3" xfId="66"/>
    <cellStyle name="Comma 3" xfId="67"/>
    <cellStyle name="Comma 3 2" xfId="68"/>
    <cellStyle name="Comma 4" xfId="69"/>
    <cellStyle name="Comma 5" xfId="70"/>
    <cellStyle name="Comma 6" xfId="71"/>
    <cellStyle name="Comma0" xfId="72"/>
    <cellStyle name="Currency 2" xfId="73"/>
    <cellStyle name="Currency0" xfId="74"/>
    <cellStyle name="Date" xfId="75"/>
    <cellStyle name="Emphasis 1" xfId="76"/>
    <cellStyle name="Emphasis 2" xfId="77"/>
    <cellStyle name="Emphasis 3" xfId="78"/>
    <cellStyle name="Explanatory Text 2" xfId="79"/>
    <cellStyle name="Fixed" xfId="80"/>
    <cellStyle name="Good 2" xfId="81"/>
    <cellStyle name="Heading 1 2" xfId="82"/>
    <cellStyle name="Heading 2 2" xfId="83"/>
    <cellStyle name="Heading 3 2" xfId="84"/>
    <cellStyle name="Heading 4 2" xfId="85"/>
    <cellStyle name="Headline" xfId="86"/>
    <cellStyle name="Hyperlink" xfId="1" builtinId="8"/>
    <cellStyle name="Hyperlink 2" xfId="87"/>
    <cellStyle name="Input 2" xfId="88"/>
    <cellStyle name="Linked Cell 2" xfId="89"/>
    <cellStyle name="Neutral 2" xfId="90"/>
    <cellStyle name="Normal" xfId="0" builtinId="0"/>
    <cellStyle name="Normal 2" xfId="2"/>
    <cellStyle name="Normal 2 10" xfId="91"/>
    <cellStyle name="Normal 2 2" xfId="92"/>
    <cellStyle name="Normal 2 3" xfId="93"/>
    <cellStyle name="Normal 2 4" xfId="94"/>
    <cellStyle name="Normal 3" xfId="95"/>
    <cellStyle name="Normal 3 2" xfId="96"/>
    <cellStyle name="Normal 3 2 2" xfId="97"/>
    <cellStyle name="Normal 3 3" xfId="98"/>
    <cellStyle name="Normal 4" xfId="4"/>
    <cellStyle name="Normal 4 2" xfId="99"/>
    <cellStyle name="Normal 5" xfId="100"/>
    <cellStyle name="Normal 5 2" xfId="101"/>
    <cellStyle name="Normal 6" xfId="102"/>
    <cellStyle name="Normal 7" xfId="103"/>
    <cellStyle name="Normal GHG Numbers (0.00)" xfId="104"/>
    <cellStyle name="Normal GHG Textfiels Bold" xfId="105"/>
    <cellStyle name="Normal GHG whole table" xfId="106"/>
    <cellStyle name="Normal GHG-Shade" xfId="107"/>
    <cellStyle name="Normal_CO2 Savings From Pilot" xfId="3"/>
    <cellStyle name="Note 2" xfId="108"/>
    <cellStyle name="Output 2" xfId="109"/>
    <cellStyle name="Pattern" xfId="110"/>
    <cellStyle name="Percent 2" xfId="111"/>
    <cellStyle name="Percent 2 2" xfId="112"/>
    <cellStyle name="Percent 3" xfId="113"/>
    <cellStyle name="Percent 4" xfId="114"/>
    <cellStyle name="SAPBEXaggData" xfId="115"/>
    <cellStyle name="SAPBEXaggDataEmph" xfId="116"/>
    <cellStyle name="SAPBEXaggItem" xfId="117"/>
    <cellStyle name="SAPBEXaggItemX" xfId="118"/>
    <cellStyle name="SAPBEXchaText" xfId="119"/>
    <cellStyle name="SAPBEXexcBad7" xfId="120"/>
    <cellStyle name="SAPBEXexcBad8" xfId="121"/>
    <cellStyle name="SAPBEXexcBad9" xfId="122"/>
    <cellStyle name="SAPBEXexcCritical4" xfId="123"/>
    <cellStyle name="SAPBEXexcCritical5" xfId="124"/>
    <cellStyle name="SAPBEXexcCritical6" xfId="125"/>
    <cellStyle name="SAPBEXexcGood1" xfId="126"/>
    <cellStyle name="SAPBEXexcGood2" xfId="127"/>
    <cellStyle name="SAPBEXexcGood3" xfId="128"/>
    <cellStyle name="SAPBEXfilterDrill" xfId="129"/>
    <cellStyle name="SAPBEXfilterItem" xfId="130"/>
    <cellStyle name="SAPBEXfilterText" xfId="131"/>
    <cellStyle name="SAPBEXformats" xfId="132"/>
    <cellStyle name="SAPBEXheaderItem" xfId="133"/>
    <cellStyle name="SAPBEXheaderText" xfId="134"/>
    <cellStyle name="SAPBEXHLevel0" xfId="135"/>
    <cellStyle name="SAPBEXHLevel0X" xfId="136"/>
    <cellStyle name="SAPBEXHLevel1" xfId="137"/>
    <cellStyle name="SAPBEXHLevel1X" xfId="138"/>
    <cellStyle name="SAPBEXHLevel2" xfId="139"/>
    <cellStyle name="SAPBEXHLevel2X" xfId="140"/>
    <cellStyle name="SAPBEXHLevel3" xfId="141"/>
    <cellStyle name="SAPBEXHLevel3X" xfId="142"/>
    <cellStyle name="SAPBEXinputData" xfId="143"/>
    <cellStyle name="SAPBEXItemHeader" xfId="144"/>
    <cellStyle name="SAPBEXresData" xfId="145"/>
    <cellStyle name="SAPBEXresDataEmph" xfId="146"/>
    <cellStyle name="SAPBEXresItem" xfId="147"/>
    <cellStyle name="SAPBEXresItemX" xfId="148"/>
    <cellStyle name="SAPBEXstdData" xfId="149"/>
    <cellStyle name="SAPBEXstdDataEmph" xfId="150"/>
    <cellStyle name="SAPBEXstdItem" xfId="151"/>
    <cellStyle name="SAPBEXstdItemX" xfId="152"/>
    <cellStyle name="SAPBEXtitle" xfId="153"/>
    <cellStyle name="SAPBEXunassignedItem" xfId="154"/>
    <cellStyle name="SAPBEXundefined" xfId="155"/>
    <cellStyle name="Sheet Title" xfId="156"/>
    <cellStyle name="Title 2" xfId="157"/>
    <cellStyle name="Total 2" xfId="158"/>
    <cellStyle name="Warning Text 2" xfId="1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FileNET/IDM/Cache/2007090616030600001/Point/dj021230c%20Company%20Totals%201985-2025%20&amp;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doust/Dropbox%20(C40%20Cities)/Compact%20of%20Mayors/CoM_TA_Inventories/00_Tools/Fugitive/Ricardo_Fugitive_v2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NLN2/Documents/Offline%20Records%20(VP)/CMO%20-%20SUS%20~%20Governance%20-%20Sustainability%20-%20Monitoring%20and%20reporting%20case%20files(2)/Community%20READ%20ONLY%202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"/>
      <sheetName val="1985 v.95"/>
      <sheetName val="1990 v.95"/>
      <sheetName val="1995 v.95"/>
      <sheetName val="1985 v.00"/>
      <sheetName val="1990 v.00"/>
      <sheetName val="1995 v.00"/>
      <sheetName val="2000 v.00"/>
      <sheetName val="2000 v.00 (2)"/>
      <sheetName val="Copy EIS SFPSIALL.dbf here"/>
      <sheetName val="Formatted SFPSIALL.dbf"/>
      <sheetName val="2000 Detailed NAICS"/>
      <sheetName val="Check"/>
      <sheetName val="Check2"/>
      <sheetName val="CO-permit"/>
      <sheetName val="CO-NAICS"/>
      <sheetName val="NOx-permit"/>
      <sheetName val="NOx-NAICS"/>
      <sheetName val="PART-permit"/>
      <sheetName val="PART-NAICS"/>
      <sheetName val="PM10-permit"/>
      <sheetName val="PM10-NAICS"/>
      <sheetName val="PM25-permit"/>
      <sheetName val="PM25-NAICS"/>
      <sheetName val="SOx-permit"/>
      <sheetName val="SOx-NAICS"/>
      <sheetName val="SO2-permit"/>
      <sheetName val="SO2-NAICS"/>
      <sheetName val="SO4-permit"/>
      <sheetName val="SO4-NAICS"/>
      <sheetName val="VOC-permit"/>
      <sheetName val="VOC-NAICS"/>
      <sheetName val="CO2-permit"/>
      <sheetName val="CO2-NAICS"/>
      <sheetName val="CH4-permit"/>
      <sheetName val="CH4-NAICS"/>
      <sheetName val="N2O-permit"/>
      <sheetName val="N2O-NAICS"/>
      <sheetName val="NH3-permit"/>
      <sheetName val="NH3-NAICS"/>
      <sheetName val="Summary-Totals"/>
      <sheetName val="Summary-NAIC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andbook"/>
      <sheetName val="Reference"/>
      <sheetName val="City information"/>
      <sheetName val="Data sources"/>
      <sheetName val="Emission factors"/>
      <sheetName val="I - Stationary"/>
      <sheetName val="II - Transport"/>
      <sheetName val="III - Waste"/>
      <sheetName val="IV - IPPU"/>
      <sheetName val="V - AFOLU"/>
      <sheetName val="VI - Other scope 3"/>
      <sheetName val="Table A. Overview"/>
      <sheetName val="Graphs"/>
      <sheetName val="Table B. Summary"/>
      <sheetName val="Wastewater"/>
      <sheetName val="ProteinLookup"/>
      <sheetName val="WastewaterReferenceTables"/>
      <sheetName val="Fugitive gas"/>
      <sheetName val="Sheet1"/>
      <sheetName val="Lists"/>
      <sheetName val="Li+InvSetUpLists!sts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03">
          <cell r="B103" t="str">
            <v>Industry Type</v>
          </cell>
        </row>
      </sheetData>
      <sheetData sheetId="15" refreshError="1"/>
      <sheetData sheetId="16" refreshError="1"/>
      <sheetData sheetId="17" refreshError="1"/>
      <sheetData sheetId="18">
        <row r="3">
          <cell r="B3" t="str">
            <v>please select</v>
          </cell>
        </row>
        <row r="4">
          <cell r="B4" t="str">
            <v>m3</v>
          </cell>
        </row>
        <row r="5">
          <cell r="B5" t="str">
            <v>kWh</v>
          </cell>
        </row>
        <row r="6">
          <cell r="B6" t="str">
            <v>MWh</v>
          </cell>
        </row>
        <row r="7">
          <cell r="B7" t="str">
            <v>GWh</v>
          </cell>
        </row>
        <row r="8">
          <cell r="B8" t="str">
            <v>GJ</v>
          </cell>
        </row>
        <row r="9">
          <cell r="B9" t="str">
            <v>TJ</v>
          </cell>
        </row>
        <row r="10">
          <cell r="B10" t="str">
            <v>Tonnes</v>
          </cell>
        </row>
      </sheetData>
      <sheetData sheetId="19">
        <row r="3">
          <cell r="AN3" t="str">
            <v xml:space="preserve"> </v>
          </cell>
        </row>
      </sheetData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Background"/>
      <sheetName val="Methodology"/>
      <sheetName val="Tearsheet"/>
      <sheetName val="Summary"/>
      <sheetName val="GPC Data"/>
      <sheetName val="Buildings"/>
      <sheetName val="Waste"/>
      <sheetName val="oldSummary 2008"/>
      <sheetName val="LDV Calcs"/>
      <sheetName val="Serv Metric"/>
      <sheetName val="Serv Metric July 2014"/>
      <sheetName val="1990-2030 GHG equiv"/>
      <sheetName val="HDV Calcs"/>
      <sheetName val="Emissions Factors"/>
      <sheetName val="Population Stats"/>
      <sheetName val="City by City Comparison"/>
      <sheetName val="City by City Comparison (OLD)"/>
      <sheetName val="Summary of Changes"/>
      <sheetName val="old summary 2006"/>
      <sheetName val="Carbon Intensity Electricity"/>
      <sheetName val="Projec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neb-one.gc.ca/nrg/tl/cnvrsntbl/cnvrsntbl-eng.html" TargetMode="External"/><Relationship Id="rId3" Type="http://schemas.openxmlformats.org/officeDocument/2006/relationships/hyperlink" Target="http://www.env.gov.bc.ca/cas/mitigation/ghg_inventory/pdf/pir-2008-full-report.pdf" TargetMode="External"/><Relationship Id="rId7" Type="http://schemas.openxmlformats.org/officeDocument/2006/relationships/hyperlink" Target="http://www.ec.gc.ca/ges-ghg/default.asp?lang=En&amp;n=AC2B7641-1" TargetMode="External"/><Relationship Id="rId12" Type="http://schemas.openxmlformats.org/officeDocument/2006/relationships/comments" Target="../comments1.xml"/><Relationship Id="rId2" Type="http://schemas.openxmlformats.org/officeDocument/2006/relationships/hyperlink" Target="http://www.env.gov.bc.ca/cas/mitigation/pdfs/Methodology_for_Reporting_BC_Public_Sector_GHG_Emissions.pdf" TargetMode="External"/><Relationship Id="rId1" Type="http://schemas.openxmlformats.org/officeDocument/2006/relationships/hyperlink" Target="http://www.ec.gc.ca/ges-ghg/default.asp?lang=En&amp;n=AC2B7641-1" TargetMode="External"/><Relationship Id="rId6" Type="http://schemas.openxmlformats.org/officeDocument/2006/relationships/hyperlink" Target="http://www.env.gov.bc.ca/cas/mitigation/ghg_inventory/pdf/pir-2008-full-report.pdf" TargetMode="External"/><Relationship Id="rId11" Type="http://schemas.openxmlformats.org/officeDocument/2006/relationships/vmlDrawing" Target="../drawings/vmlDrawing1.vml"/><Relationship Id="rId5" Type="http://schemas.openxmlformats.org/officeDocument/2006/relationships/hyperlink" Target="http://www.env.gov.bc.ca/cas/mitigation/ghg_inventory/pdf/pir-2008-full-report.pdf" TargetMode="External"/><Relationship Id="rId10" Type="http://schemas.openxmlformats.org/officeDocument/2006/relationships/printerSettings" Target="../printerSettings/printerSettings3.bin"/><Relationship Id="rId4" Type="http://schemas.openxmlformats.org/officeDocument/2006/relationships/hyperlink" Target="http://www.env.gov.bc.ca/cas/mitigation/ghg_inventory/pdf/pir-2008-full-report.pdf" TargetMode="External"/><Relationship Id="rId9" Type="http://schemas.openxmlformats.org/officeDocument/2006/relationships/hyperlink" Target="https://www.toolkit.bc.ca/sites/default/files/2014_best_practices_methodology_for_quantifying_greenhouse_gas_emissions%20%281%29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hardydiesel.com/resources/diesel-generator-fuel-consumption-chart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33"/>
  <sheetViews>
    <sheetView tabSelected="1" topLeftCell="A7" zoomScale="115" zoomScaleNormal="115" workbookViewId="0">
      <selection activeCell="D24" sqref="D24"/>
    </sheetView>
  </sheetViews>
  <sheetFormatPr defaultColWidth="8.85546875" defaultRowHeight="15" x14ac:dyDescent="0.25"/>
  <cols>
    <col min="1" max="1" width="40" style="278" customWidth="1"/>
    <col min="2" max="2" width="22.42578125" style="252" customWidth="1"/>
    <col min="3" max="5" width="22.42578125" style="2" customWidth="1"/>
    <col min="6" max="16384" width="8.85546875" style="2"/>
  </cols>
  <sheetData>
    <row r="1" spans="1:5" ht="21" x14ac:dyDescent="0.35">
      <c r="B1" s="255" t="s">
        <v>0</v>
      </c>
    </row>
    <row r="3" spans="1:5" x14ac:dyDescent="0.25">
      <c r="B3" s="276" t="s">
        <v>256</v>
      </c>
      <c r="C3" s="276" t="s">
        <v>257</v>
      </c>
    </row>
    <row r="4" spans="1:5" ht="15.75" thickBot="1" x14ac:dyDescent="0.3"/>
    <row r="5" spans="1:5" ht="19.149999999999999" customHeight="1" thickBot="1" x14ac:dyDescent="0.3">
      <c r="A5" s="279" t="s">
        <v>1</v>
      </c>
      <c r="B5" s="293"/>
      <c r="C5" s="294"/>
      <c r="D5" s="295"/>
    </row>
    <row r="6" spans="1:5" ht="15.75" thickBot="1" x14ac:dyDescent="0.3">
      <c r="A6" s="279" t="s">
        <v>206</v>
      </c>
      <c r="B6" s="289"/>
    </row>
    <row r="7" spans="1:5" ht="15.75" thickBot="1" x14ac:dyDescent="0.3">
      <c r="A7" s="279" t="s">
        <v>207</v>
      </c>
      <c r="B7" s="289"/>
      <c r="C7" s="277" t="s">
        <v>258</v>
      </c>
    </row>
    <row r="8" spans="1:5" ht="15.6" customHeight="1" thickBot="1" x14ac:dyDescent="0.3">
      <c r="A8" s="280" t="s">
        <v>233</v>
      </c>
      <c r="B8" s="289"/>
    </row>
    <row r="9" spans="1:5" s="263" customFormat="1" ht="15.75" thickBot="1" x14ac:dyDescent="0.3">
      <c r="A9" s="281" t="s">
        <v>235</v>
      </c>
      <c r="B9" s="262"/>
    </row>
    <row r="10" spans="1:5" ht="15.75" hidden="1" thickBot="1" x14ac:dyDescent="0.3">
      <c r="A10" s="279" t="s">
        <v>189</v>
      </c>
      <c r="B10" s="290" t="s">
        <v>183</v>
      </c>
      <c r="C10" s="291" t="s">
        <v>258</v>
      </c>
      <c r="D10" s="278"/>
    </row>
    <row r="11" spans="1:5" ht="69" customHeight="1" thickBot="1" x14ac:dyDescent="0.3">
      <c r="A11" s="282" t="s">
        <v>190</v>
      </c>
      <c r="B11" s="293"/>
      <c r="C11" s="294"/>
      <c r="D11" s="295"/>
    </row>
    <row r="12" spans="1:5" ht="30.75" thickBot="1" x14ac:dyDescent="0.3">
      <c r="A12" s="282" t="s">
        <v>191</v>
      </c>
      <c r="B12" s="296" t="s">
        <v>202</v>
      </c>
      <c r="C12" s="297"/>
      <c r="D12" s="298"/>
      <c r="E12" s="277" t="s">
        <v>258</v>
      </c>
    </row>
    <row r="13" spans="1:5" ht="15.75" thickBot="1" x14ac:dyDescent="0.3">
      <c r="A13" s="282" t="s">
        <v>204</v>
      </c>
      <c r="B13" s="296" t="s">
        <v>197</v>
      </c>
      <c r="C13" s="297"/>
      <c r="D13" s="298"/>
      <c r="E13" s="277" t="s">
        <v>258</v>
      </c>
    </row>
    <row r="14" spans="1:5" ht="69" customHeight="1" thickBot="1" x14ac:dyDescent="0.3">
      <c r="A14" s="282" t="s">
        <v>205</v>
      </c>
      <c r="B14" s="293"/>
      <c r="C14" s="294"/>
      <c r="D14" s="295"/>
    </row>
    <row r="15" spans="1:5" ht="18" customHeight="1" x14ac:dyDescent="0.25">
      <c r="A15" s="282"/>
      <c r="B15" s="258"/>
      <c r="C15" s="258"/>
      <c r="D15" s="258"/>
    </row>
    <row r="16" spans="1:5" s="271" customFormat="1" x14ac:dyDescent="0.25">
      <c r="A16" s="281" t="s">
        <v>255</v>
      </c>
      <c r="B16" s="270"/>
    </row>
    <row r="17" spans="1:6" s="266" customFormat="1" ht="15.75" thickBot="1" x14ac:dyDescent="0.3">
      <c r="A17" s="283"/>
      <c r="B17" s="265" t="s">
        <v>245</v>
      </c>
      <c r="C17" s="265" t="s">
        <v>246</v>
      </c>
      <c r="D17" s="265" t="s">
        <v>247</v>
      </c>
    </row>
    <row r="18" spans="1:6" ht="15.75" thickBot="1" x14ac:dyDescent="0.3">
      <c r="A18" s="279" t="s">
        <v>2</v>
      </c>
      <c r="B18" s="292"/>
      <c r="C18" s="292"/>
      <c r="D18" s="292"/>
    </row>
    <row r="19" spans="1:6" ht="15.75" thickBot="1" x14ac:dyDescent="0.3">
      <c r="A19" s="279" t="s">
        <v>266</v>
      </c>
      <c r="B19" s="292"/>
      <c r="C19" s="292"/>
      <c r="D19" s="292"/>
    </row>
    <row r="20" spans="1:6" x14ac:dyDescent="0.25">
      <c r="A20" s="279"/>
      <c r="B20" s="253"/>
    </row>
    <row r="22" spans="1:6" ht="15.75" thickBot="1" x14ac:dyDescent="0.3">
      <c r="A22" s="284" t="s">
        <v>188</v>
      </c>
      <c r="B22" s="254"/>
      <c r="C22" s="254"/>
      <c r="D22" s="254"/>
    </row>
    <row r="23" spans="1:6" ht="19.899999999999999" customHeight="1" thickBot="1" x14ac:dyDescent="0.3">
      <c r="A23" s="279" t="s">
        <v>3</v>
      </c>
      <c r="B23" s="292"/>
      <c r="C23" s="292"/>
      <c r="D23" s="292"/>
    </row>
    <row r="24" spans="1:6" ht="15.75" thickBot="1" x14ac:dyDescent="0.3">
      <c r="A24" s="279" t="s">
        <v>282</v>
      </c>
      <c r="B24" s="256" t="str">
        <f>IF(ISBLANK(B19),"",INDEX('Fuel Consumption by Gen Size'!$A$2:$D$35,MATCH(INDEX('Drop Down Lists'!$A$55:$B$67,MATCH(Input!B$19,'Drop Down Lists'!$A$55:$A$67,),2),'Fuel Consumption by Gen Size'!$A$2:$A$35,),3)*3.78541)</f>
        <v/>
      </c>
      <c r="C24" s="256" t="str">
        <f>IF(ISBLANK(C19),"",'Gas fuel consumption by Gen Siz'!$C$5*3.78541)</f>
        <v/>
      </c>
      <c r="D24" s="256" t="str">
        <f>IF(ISBLANK(D19),"",'Gas fuel consumption by Gen Siz'!K4*3.78541)</f>
        <v/>
      </c>
      <c r="E24" s="2" t="s">
        <v>259</v>
      </c>
    </row>
    <row r="25" spans="1:6" ht="15.75" thickBot="1" x14ac:dyDescent="0.3">
      <c r="A25" s="279" t="s">
        <v>262</v>
      </c>
      <c r="B25" s="256" t="str">
        <f>IF(ISBLANK(B19),"",B23*B24*B18)</f>
        <v/>
      </c>
      <c r="C25" s="256" t="str">
        <f>IF(ISBLANK(C19),"",C23*C24*C18)</f>
        <v/>
      </c>
      <c r="D25" s="256" t="str">
        <f>IF(ISBLANK(D19),"",D23*D24*D18)</f>
        <v/>
      </c>
      <c r="E25" s="2" t="s">
        <v>260</v>
      </c>
    </row>
    <row r="26" spans="1:6" ht="32.25" thickBot="1" x14ac:dyDescent="0.3">
      <c r="A26" s="285" t="s">
        <v>244</v>
      </c>
      <c r="B26" s="272">
        <f>IF(ISBLANK(B23),0,B25)</f>
        <v>0</v>
      </c>
      <c r="C26" s="272">
        <f>IF(ISBLANK(C23),0,C25)</f>
        <v>0</v>
      </c>
      <c r="D26" s="272">
        <f>IF(ISBLANK(D23),0,D25)</f>
        <v>0</v>
      </c>
    </row>
    <row r="27" spans="1:6" ht="15.75" thickBot="1" x14ac:dyDescent="0.3">
      <c r="A27" s="286" t="s">
        <v>263</v>
      </c>
      <c r="B27" s="273">
        <f>'Emission Factors'!$F$60*Input!B$26</f>
        <v>0</v>
      </c>
      <c r="C27" s="273">
        <f>'Emission Factors'!$F$61*Input!C$26</f>
        <v>0</v>
      </c>
      <c r="D27" s="273">
        <f>'Emission Factors'!$F$62*Input!D$26</f>
        <v>0</v>
      </c>
      <c r="E27" s="2" t="s">
        <v>261</v>
      </c>
    </row>
    <row r="28" spans="1:6" ht="16.5" thickBot="1" x14ac:dyDescent="0.3">
      <c r="A28" s="287" t="s">
        <v>264</v>
      </c>
      <c r="B28" s="274">
        <f>'Emission Factors'!$M$60*Input!B$27</f>
        <v>0</v>
      </c>
      <c r="C28" s="274">
        <f>'Emission Factors'!$M$61*Input!C$27</f>
        <v>0</v>
      </c>
      <c r="D28" s="274">
        <f>'Emission Factors'!$M$62*Input!D$27</f>
        <v>0</v>
      </c>
      <c r="E28" s="257" t="s">
        <v>241</v>
      </c>
      <c r="F28" s="257"/>
    </row>
    <row r="29" spans="1:6" x14ac:dyDescent="0.25">
      <c r="C29" s="252"/>
      <c r="D29" s="252"/>
      <c r="E29" s="252"/>
    </row>
    <row r="30" spans="1:6" x14ac:dyDescent="0.25">
      <c r="C30" s="252"/>
      <c r="D30" s="252"/>
      <c r="E30" s="252"/>
    </row>
    <row r="31" spans="1:6" ht="15.75" thickBot="1" x14ac:dyDescent="0.3"/>
    <row r="32" spans="1:6" ht="38.25" thickBot="1" x14ac:dyDescent="0.35">
      <c r="A32" s="288" t="s">
        <v>254</v>
      </c>
      <c r="B32" s="275">
        <f>SUM(B28:E28)</f>
        <v>0</v>
      </c>
      <c r="C32" s="2" t="s">
        <v>265</v>
      </c>
    </row>
    <row r="33" spans="1:3" ht="19.5" thickBot="1" x14ac:dyDescent="0.35">
      <c r="A33" s="288" t="s">
        <v>283</v>
      </c>
      <c r="B33" s="275" t="str">
        <f>IF(B8=0,"missing attendance",B32/B8*1000)</f>
        <v>missing attendance</v>
      </c>
      <c r="C33" s="2" t="s">
        <v>284</v>
      </c>
    </row>
  </sheetData>
  <mergeCells count="5">
    <mergeCell ref="B5:D5"/>
    <mergeCell ref="B11:D11"/>
    <mergeCell ref="B13:D13"/>
    <mergeCell ref="B12:D12"/>
    <mergeCell ref="B14:D14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'Drop Down Lists'!$C$34:$C$39</xm:f>
          </x14:formula1>
          <xm:sqref>B12</xm:sqref>
        </x14:dataValidation>
        <x14:dataValidation type="list" allowBlank="1" showInputMessage="1" showErrorMessage="1">
          <x14:formula1>
            <xm:f>'Drop Down Lists'!$A$3:$A$4</xm:f>
          </x14:formula1>
          <xm:sqref>B10</xm:sqref>
        </x14:dataValidation>
        <x14:dataValidation type="list" allowBlank="1" showInputMessage="1" showErrorMessage="1">
          <x14:formula1>
            <xm:f>'Drop Down Lists'!$A$33:$A$40</xm:f>
          </x14:formula1>
          <xm:sqref>B13:D13</xm:sqref>
        </x14:dataValidation>
        <x14:dataValidation type="list" allowBlank="1" showInputMessage="1" showErrorMessage="1">
          <x14:formula1>
            <xm:f>'Drop Down Lists'!$A$7:$A$28</xm:f>
          </x14:formula1>
          <xm:sqref>B6</xm:sqref>
        </x14:dataValidation>
        <x14:dataValidation type="list" allowBlank="1" showInputMessage="1" showErrorMessage="1">
          <x14:formula1>
            <xm:f>'Drop Down Lists'!$D$7:$D$10</xm:f>
          </x14:formula1>
          <xm:sqref>B7</xm:sqref>
        </x14:dataValidation>
        <x14:dataValidation type="list" allowBlank="1" showInputMessage="1" showErrorMessage="1">
          <x14:formula1>
            <xm:f>'Drop Down Lists'!$A$55:$A$68</xm:f>
          </x14:formula1>
          <xm:sqref>B19:D19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67"/>
  <sheetViews>
    <sheetView topLeftCell="A41" workbookViewId="0">
      <selection activeCell="A56" sqref="A56"/>
    </sheetView>
  </sheetViews>
  <sheetFormatPr defaultRowHeight="15" x14ac:dyDescent="0.25"/>
  <cols>
    <col min="1" max="1" width="26.7109375" customWidth="1"/>
  </cols>
  <sheetData>
    <row r="2" spans="1:4" x14ac:dyDescent="0.25">
      <c r="A2" s="1" t="s">
        <v>181</v>
      </c>
    </row>
    <row r="3" spans="1:4" x14ac:dyDescent="0.25">
      <c r="A3" s="248" t="s">
        <v>182</v>
      </c>
    </row>
    <row r="4" spans="1:4" x14ac:dyDescent="0.25">
      <c r="A4" s="248" t="s">
        <v>183</v>
      </c>
    </row>
    <row r="5" spans="1:4" x14ac:dyDescent="0.25">
      <c r="A5" s="259"/>
    </row>
    <row r="6" spans="1:4" x14ac:dyDescent="0.25">
      <c r="A6" s="261" t="s">
        <v>206</v>
      </c>
      <c r="D6" s="1" t="s">
        <v>207</v>
      </c>
    </row>
    <row r="7" spans="1:4" x14ac:dyDescent="0.25">
      <c r="A7" t="s">
        <v>208</v>
      </c>
      <c r="D7" t="s">
        <v>229</v>
      </c>
    </row>
    <row r="8" spans="1:4" x14ac:dyDescent="0.25">
      <c r="A8" t="s">
        <v>209</v>
      </c>
      <c r="D8" t="s">
        <v>230</v>
      </c>
    </row>
    <row r="9" spans="1:4" x14ac:dyDescent="0.25">
      <c r="A9" t="s">
        <v>210</v>
      </c>
      <c r="D9" t="s">
        <v>231</v>
      </c>
    </row>
    <row r="10" spans="1:4" x14ac:dyDescent="0.25">
      <c r="A10" t="s">
        <v>211</v>
      </c>
      <c r="D10" t="s">
        <v>232</v>
      </c>
    </row>
    <row r="11" spans="1:4" x14ac:dyDescent="0.25">
      <c r="A11" t="s">
        <v>212</v>
      </c>
    </row>
    <row r="12" spans="1:4" x14ac:dyDescent="0.25">
      <c r="A12" t="s">
        <v>213</v>
      </c>
    </row>
    <row r="13" spans="1:4" x14ac:dyDescent="0.25">
      <c r="A13" t="s">
        <v>214</v>
      </c>
      <c r="D13" s="1" t="s">
        <v>234</v>
      </c>
    </row>
    <row r="14" spans="1:4" x14ac:dyDescent="0.25">
      <c r="A14" t="s">
        <v>215</v>
      </c>
      <c r="D14" t="s">
        <v>239</v>
      </c>
    </row>
    <row r="15" spans="1:4" x14ac:dyDescent="0.25">
      <c r="A15" t="s">
        <v>216</v>
      </c>
      <c r="D15" t="s">
        <v>240</v>
      </c>
    </row>
    <row r="16" spans="1:4" x14ac:dyDescent="0.25">
      <c r="A16" t="s">
        <v>217</v>
      </c>
    </row>
    <row r="17" spans="1:2" x14ac:dyDescent="0.25">
      <c r="A17" t="s">
        <v>218</v>
      </c>
    </row>
    <row r="18" spans="1:2" x14ac:dyDescent="0.25">
      <c r="A18" t="s">
        <v>219</v>
      </c>
    </row>
    <row r="19" spans="1:2" x14ac:dyDescent="0.25">
      <c r="A19" t="s">
        <v>220</v>
      </c>
    </row>
    <row r="20" spans="1:2" x14ac:dyDescent="0.25">
      <c r="A20" t="s">
        <v>221</v>
      </c>
    </row>
    <row r="21" spans="1:2" x14ac:dyDescent="0.25">
      <c r="A21" t="s">
        <v>222</v>
      </c>
    </row>
    <row r="22" spans="1:2" x14ac:dyDescent="0.25">
      <c r="A22" t="s">
        <v>223</v>
      </c>
    </row>
    <row r="23" spans="1:2" x14ac:dyDescent="0.25">
      <c r="A23" t="s">
        <v>224</v>
      </c>
    </row>
    <row r="24" spans="1:2" x14ac:dyDescent="0.25">
      <c r="A24" t="s">
        <v>225</v>
      </c>
    </row>
    <row r="25" spans="1:2" x14ac:dyDescent="0.25">
      <c r="A25" t="s">
        <v>226</v>
      </c>
    </row>
    <row r="26" spans="1:2" x14ac:dyDescent="0.25">
      <c r="A26" t="s">
        <v>227</v>
      </c>
    </row>
    <row r="27" spans="1:2" x14ac:dyDescent="0.25">
      <c r="A27" t="s">
        <v>228</v>
      </c>
    </row>
    <row r="29" spans="1:2" x14ac:dyDescent="0.25">
      <c r="A29" s="259"/>
    </row>
    <row r="30" spans="1:2" x14ac:dyDescent="0.25">
      <c r="A30" s="259"/>
    </row>
    <row r="31" spans="1:2" x14ac:dyDescent="0.25">
      <c r="A31" s="260" t="s">
        <v>191</v>
      </c>
    </row>
    <row r="32" spans="1:2" x14ac:dyDescent="0.25">
      <c r="B32" t="s">
        <v>203</v>
      </c>
    </row>
    <row r="33" spans="1:3" x14ac:dyDescent="0.25">
      <c r="A33" t="s">
        <v>193</v>
      </c>
      <c r="B33">
        <v>20</v>
      </c>
    </row>
    <row r="34" spans="1:3" x14ac:dyDescent="0.25">
      <c r="A34" t="s">
        <v>194</v>
      </c>
      <c r="B34">
        <v>20</v>
      </c>
      <c r="C34" t="s">
        <v>198</v>
      </c>
    </row>
    <row r="35" spans="1:3" x14ac:dyDescent="0.25">
      <c r="A35" t="s">
        <v>195</v>
      </c>
      <c r="B35">
        <v>20</v>
      </c>
      <c r="C35" t="s">
        <v>199</v>
      </c>
    </row>
    <row r="36" spans="1:3" x14ac:dyDescent="0.25">
      <c r="A36" t="s">
        <v>236</v>
      </c>
      <c r="B36">
        <v>10</v>
      </c>
      <c r="C36" t="s">
        <v>238</v>
      </c>
    </row>
    <row r="37" spans="1:3" x14ac:dyDescent="0.25">
      <c r="A37" t="s">
        <v>237</v>
      </c>
      <c r="B37">
        <v>10</v>
      </c>
      <c r="C37" t="s">
        <v>200</v>
      </c>
    </row>
    <row r="38" spans="1:3" x14ac:dyDescent="0.25">
      <c r="A38" t="s">
        <v>196</v>
      </c>
      <c r="B38">
        <v>5</v>
      </c>
      <c r="C38" t="s">
        <v>201</v>
      </c>
    </row>
    <row r="39" spans="1:3" x14ac:dyDescent="0.25">
      <c r="A39" t="s">
        <v>197</v>
      </c>
      <c r="B39">
        <v>0</v>
      </c>
      <c r="C39" t="s">
        <v>202</v>
      </c>
    </row>
    <row r="40" spans="1:3" x14ac:dyDescent="0.25">
      <c r="A40" t="s">
        <v>192</v>
      </c>
    </row>
    <row r="45" spans="1:3" x14ac:dyDescent="0.25">
      <c r="A45" t="s">
        <v>187</v>
      </c>
    </row>
    <row r="47" spans="1:3" x14ac:dyDescent="0.25">
      <c r="A47" s="1" t="s">
        <v>243</v>
      </c>
    </row>
    <row r="48" spans="1:3" x14ac:dyDescent="0.25">
      <c r="A48" t="s">
        <v>52</v>
      </c>
    </row>
    <row r="49" spans="1:2" x14ac:dyDescent="0.25">
      <c r="A49" t="s">
        <v>51</v>
      </c>
    </row>
    <row r="50" spans="1:2" x14ac:dyDescent="0.25">
      <c r="A50" t="s">
        <v>43</v>
      </c>
    </row>
    <row r="51" spans="1:2" x14ac:dyDescent="0.25">
      <c r="A51" t="s">
        <v>105</v>
      </c>
    </row>
    <row r="54" spans="1:2" x14ac:dyDescent="0.25">
      <c r="A54" s="1" t="s">
        <v>277</v>
      </c>
      <c r="B54" t="s">
        <v>278</v>
      </c>
    </row>
    <row r="55" spans="1:2" x14ac:dyDescent="0.25">
      <c r="A55" t="s">
        <v>267</v>
      </c>
      <c r="B55">
        <v>1</v>
      </c>
    </row>
    <row r="56" spans="1:2" x14ac:dyDescent="0.25">
      <c r="A56" t="s">
        <v>268</v>
      </c>
      <c r="B56">
        <v>2</v>
      </c>
    </row>
    <row r="57" spans="1:2" x14ac:dyDescent="0.25">
      <c r="A57" t="s">
        <v>269</v>
      </c>
      <c r="B57">
        <v>2.4</v>
      </c>
    </row>
    <row r="58" spans="1:2" x14ac:dyDescent="0.25">
      <c r="A58" t="s">
        <v>270</v>
      </c>
      <c r="B58">
        <v>3</v>
      </c>
    </row>
    <row r="59" spans="1:2" x14ac:dyDescent="0.25">
      <c r="A59" t="s">
        <v>279</v>
      </c>
      <c r="B59">
        <v>4</v>
      </c>
    </row>
    <row r="60" spans="1:2" x14ac:dyDescent="0.25">
      <c r="A60" t="s">
        <v>271</v>
      </c>
      <c r="B60">
        <v>5</v>
      </c>
    </row>
    <row r="61" spans="1:2" x14ac:dyDescent="0.25">
      <c r="A61" t="s">
        <v>280</v>
      </c>
      <c r="B61">
        <v>6</v>
      </c>
    </row>
    <row r="62" spans="1:2" x14ac:dyDescent="0.25">
      <c r="A62" t="s">
        <v>272</v>
      </c>
      <c r="B62">
        <v>6.5</v>
      </c>
    </row>
    <row r="63" spans="1:2" x14ac:dyDescent="0.25">
      <c r="A63" t="s">
        <v>273</v>
      </c>
      <c r="B63">
        <v>7</v>
      </c>
    </row>
    <row r="64" spans="1:2" x14ac:dyDescent="0.25">
      <c r="A64" t="s">
        <v>275</v>
      </c>
      <c r="B64">
        <v>7.5</v>
      </c>
    </row>
    <row r="65" spans="1:2" x14ac:dyDescent="0.25">
      <c r="A65" t="s">
        <v>274</v>
      </c>
      <c r="B65">
        <v>8</v>
      </c>
    </row>
    <row r="66" spans="1:2" x14ac:dyDescent="0.25">
      <c r="A66" t="s">
        <v>276</v>
      </c>
      <c r="B66">
        <v>9</v>
      </c>
    </row>
    <row r="67" spans="1:2" x14ac:dyDescent="0.25">
      <c r="A67" t="s">
        <v>281</v>
      </c>
      <c r="B67">
        <v>10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2:AI380"/>
  <sheetViews>
    <sheetView showGridLines="0" topLeftCell="A43" zoomScaleNormal="100" workbookViewId="0">
      <selection activeCell="T45" sqref="T45"/>
    </sheetView>
  </sheetViews>
  <sheetFormatPr defaultColWidth="8.85546875" defaultRowHeight="12.75" outlineLevelRow="2" x14ac:dyDescent="0.2"/>
  <cols>
    <col min="1" max="1" width="1.28515625" style="39" customWidth="1"/>
    <col min="2" max="2" width="18.42578125" style="39" customWidth="1"/>
    <col min="3" max="3" width="9.140625" style="39" customWidth="1"/>
    <col min="4" max="4" width="16.28515625" style="39" customWidth="1"/>
    <col min="5" max="5" width="9.140625" style="39" customWidth="1"/>
    <col min="6" max="6" width="9" style="39" customWidth="1"/>
    <col min="7" max="7" width="9" style="73" customWidth="1"/>
    <col min="8" max="21" width="9" style="39" customWidth="1"/>
    <col min="22" max="23" width="11.140625" style="39" customWidth="1"/>
    <col min="24" max="25" width="10.140625" style="39" bestFit="1" customWidth="1"/>
    <col min="26" max="16384" width="8.85546875" style="39"/>
  </cols>
  <sheetData>
    <row r="2" spans="1:35" s="4" customFormat="1" ht="21" x14ac:dyDescent="0.35">
      <c r="B2" s="5" t="s">
        <v>16</v>
      </c>
      <c r="C2" s="5"/>
      <c r="D2" s="5"/>
      <c r="E2" s="5"/>
    </row>
    <row r="3" spans="1:35" s="4" customFormat="1" ht="15.75" x14ac:dyDescent="0.25">
      <c r="A3" s="6"/>
    </row>
    <row r="4" spans="1:35" s="4" customFormat="1" ht="15.75" x14ac:dyDescent="0.25">
      <c r="A4" s="6"/>
      <c r="B4" s="7" t="s">
        <v>17</v>
      </c>
      <c r="C4" s="7"/>
      <c r="D4" s="7"/>
      <c r="E4" s="7"/>
      <c r="F4" s="8" t="s">
        <v>5</v>
      </c>
    </row>
    <row r="5" spans="1:35" s="4" customFormat="1" ht="15.75" outlineLevel="1" x14ac:dyDescent="0.25">
      <c r="A5" s="6"/>
      <c r="B5" s="9" t="s">
        <v>18</v>
      </c>
      <c r="C5" s="9"/>
      <c r="D5" s="9"/>
      <c r="E5" s="9"/>
      <c r="F5" s="10">
        <v>2004</v>
      </c>
      <c r="G5" s="10">
        <v>2006</v>
      </c>
      <c r="H5" s="10">
        <v>2007</v>
      </c>
      <c r="I5" s="10">
        <v>2008</v>
      </c>
      <c r="J5" s="10">
        <v>2009</v>
      </c>
      <c r="K5" s="10">
        <v>2010</v>
      </c>
      <c r="L5" s="10">
        <v>2011</v>
      </c>
      <c r="M5" s="10">
        <v>2012</v>
      </c>
      <c r="N5" s="10">
        <v>2013</v>
      </c>
      <c r="O5" s="10">
        <v>2014</v>
      </c>
      <c r="P5" s="10">
        <v>2015</v>
      </c>
      <c r="Q5" s="10">
        <v>2016</v>
      </c>
      <c r="R5" s="10">
        <v>2017</v>
      </c>
      <c r="S5" s="10">
        <v>2018</v>
      </c>
      <c r="T5" s="10">
        <v>2019</v>
      </c>
      <c r="U5" s="10">
        <v>2020</v>
      </c>
    </row>
    <row r="6" spans="1:35" s="4" customFormat="1" ht="15.75" outlineLevel="1" x14ac:dyDescent="0.25">
      <c r="A6" s="6"/>
      <c r="B6" s="11" t="s">
        <v>19</v>
      </c>
      <c r="C6" s="11"/>
      <c r="D6" s="11"/>
      <c r="E6" s="11"/>
      <c r="F6" s="12">
        <v>1</v>
      </c>
      <c r="G6" s="12">
        <v>1</v>
      </c>
      <c r="H6" s="12">
        <v>1</v>
      </c>
      <c r="I6" s="12">
        <v>1</v>
      </c>
      <c r="J6" s="12">
        <v>1</v>
      </c>
      <c r="K6" s="12">
        <v>1</v>
      </c>
      <c r="L6" s="12">
        <v>1</v>
      </c>
      <c r="M6" s="12">
        <v>1</v>
      </c>
      <c r="N6" s="12">
        <v>1</v>
      </c>
      <c r="O6" s="13">
        <v>1</v>
      </c>
      <c r="P6" s="12">
        <f>+O6</f>
        <v>1</v>
      </c>
      <c r="Q6" s="12">
        <f>+P6</f>
        <v>1</v>
      </c>
      <c r="R6" s="12">
        <f>+Q6</f>
        <v>1</v>
      </c>
      <c r="S6" s="12">
        <f>+R6</f>
        <v>1</v>
      </c>
      <c r="T6" s="12">
        <f>+S6</f>
        <v>1</v>
      </c>
      <c r="U6" s="12"/>
    </row>
    <row r="7" spans="1:35" s="4" customFormat="1" ht="15.75" outlineLevel="1" x14ac:dyDescent="0.25">
      <c r="A7" s="6"/>
      <c r="B7" s="11" t="s">
        <v>20</v>
      </c>
      <c r="C7" s="11"/>
      <c r="D7" s="11"/>
      <c r="E7" s="11"/>
      <c r="F7" s="12">
        <v>21</v>
      </c>
      <c r="G7" s="12">
        <v>21</v>
      </c>
      <c r="H7" s="12">
        <v>21</v>
      </c>
      <c r="I7" s="12">
        <v>21</v>
      </c>
      <c r="J7" s="12">
        <v>21</v>
      </c>
      <c r="K7" s="12">
        <v>21</v>
      </c>
      <c r="L7" s="12">
        <v>21</v>
      </c>
      <c r="M7" s="12">
        <v>21</v>
      </c>
      <c r="N7" s="12">
        <v>21</v>
      </c>
      <c r="O7" s="13">
        <v>25</v>
      </c>
      <c r="P7" s="12">
        <f t="shared" ref="P7:T8" si="0">+O7</f>
        <v>25</v>
      </c>
      <c r="Q7" s="12">
        <f t="shared" si="0"/>
        <v>25</v>
      </c>
      <c r="R7" s="12">
        <f t="shared" si="0"/>
        <v>25</v>
      </c>
      <c r="S7" s="12">
        <f t="shared" si="0"/>
        <v>25</v>
      </c>
      <c r="T7" s="12">
        <f t="shared" si="0"/>
        <v>25</v>
      </c>
      <c r="U7" s="12"/>
    </row>
    <row r="8" spans="1:35" s="4" customFormat="1" ht="15.75" outlineLevel="1" x14ac:dyDescent="0.25">
      <c r="A8" s="6"/>
      <c r="B8" s="11" t="s">
        <v>21</v>
      </c>
      <c r="C8" s="11"/>
      <c r="D8" s="11"/>
      <c r="E8" s="11"/>
      <c r="F8" s="12">
        <v>310</v>
      </c>
      <c r="G8" s="12">
        <v>310</v>
      </c>
      <c r="H8" s="12">
        <v>310</v>
      </c>
      <c r="I8" s="12">
        <v>310</v>
      </c>
      <c r="J8" s="12">
        <v>310</v>
      </c>
      <c r="K8" s="12">
        <v>310</v>
      </c>
      <c r="L8" s="12">
        <v>310</v>
      </c>
      <c r="M8" s="12">
        <v>310</v>
      </c>
      <c r="N8" s="12">
        <v>310</v>
      </c>
      <c r="O8" s="13">
        <v>298</v>
      </c>
      <c r="P8" s="12">
        <f t="shared" si="0"/>
        <v>298</v>
      </c>
      <c r="Q8" s="12">
        <f t="shared" si="0"/>
        <v>298</v>
      </c>
      <c r="R8" s="12">
        <f t="shared" si="0"/>
        <v>298</v>
      </c>
      <c r="S8" s="12">
        <f t="shared" si="0"/>
        <v>298</v>
      </c>
      <c r="T8" s="12">
        <f t="shared" si="0"/>
        <v>298</v>
      </c>
      <c r="U8" s="12"/>
    </row>
    <row r="9" spans="1:35" s="14" customFormat="1" outlineLevel="1" x14ac:dyDescent="0.2">
      <c r="B9" s="15" t="s">
        <v>22</v>
      </c>
    </row>
    <row r="10" spans="1:35" s="14" customFormat="1" x14ac:dyDescent="0.2">
      <c r="B10" s="15"/>
    </row>
    <row r="11" spans="1:35" s="14" customFormat="1" x14ac:dyDescent="0.2"/>
    <row r="12" spans="1:35" s="4" customFormat="1" ht="15.75" x14ac:dyDescent="0.25">
      <c r="A12" s="6"/>
      <c r="B12" s="7" t="s">
        <v>4</v>
      </c>
      <c r="C12" s="7"/>
      <c r="D12" s="7"/>
      <c r="E12" s="7"/>
      <c r="F12" s="8" t="s">
        <v>5</v>
      </c>
    </row>
    <row r="13" spans="1:35" s="16" customFormat="1" ht="22.5" outlineLevel="1" x14ac:dyDescent="0.2">
      <c r="B13" s="17" t="s">
        <v>6</v>
      </c>
      <c r="C13" s="17"/>
      <c r="D13" s="17"/>
      <c r="E13" s="17"/>
      <c r="F13" s="18" t="s">
        <v>7</v>
      </c>
      <c r="G13" s="17" t="s">
        <v>8</v>
      </c>
      <c r="H13" s="299" t="s">
        <v>9</v>
      </c>
      <c r="I13" s="299"/>
      <c r="J13" s="299"/>
      <c r="K13" s="299"/>
      <c r="L13" s="299"/>
      <c r="M13" s="17" t="s">
        <v>10</v>
      </c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</row>
    <row r="14" spans="1:35" s="4" customFormat="1" ht="15" outlineLevel="1" x14ac:dyDescent="0.2">
      <c r="B14" s="11" t="s">
        <v>11</v>
      </c>
      <c r="C14" s="11"/>
      <c r="D14" s="11"/>
      <c r="E14" s="11"/>
      <c r="F14" s="19">
        <v>1916</v>
      </c>
      <c r="G14" s="11" t="s">
        <v>12</v>
      </c>
      <c r="H14" s="300" t="s">
        <v>13</v>
      </c>
      <c r="I14" s="300"/>
      <c r="J14" s="300"/>
      <c r="K14" s="300"/>
      <c r="L14" s="300"/>
      <c r="M14" s="20"/>
      <c r="N14" s="20"/>
      <c r="O14" s="20"/>
      <c r="P14" s="20"/>
      <c r="Q14" s="20"/>
      <c r="R14" s="20"/>
      <c r="S14" s="20"/>
      <c r="T14" s="20"/>
      <c r="U14" s="20"/>
      <c r="V14" s="20"/>
    </row>
    <row r="15" spans="1:35" s="4" customFormat="1" outlineLevel="1" x14ac:dyDescent="0.2">
      <c r="B15" s="11" t="s">
        <v>11</v>
      </c>
      <c r="C15" s="11"/>
      <c r="D15" s="11"/>
      <c r="E15" s="11"/>
      <c r="F15" s="21">
        <f>F14/F57/1000000</f>
        <v>5.1367292225201075E-2</v>
      </c>
      <c r="G15" s="11" t="s">
        <v>14</v>
      </c>
      <c r="H15" s="3"/>
      <c r="I15" s="3"/>
      <c r="J15" s="3"/>
      <c r="K15" s="3"/>
      <c r="L15" s="3"/>
      <c r="M15" s="20"/>
      <c r="N15" s="20"/>
      <c r="O15" s="20"/>
      <c r="P15" s="20"/>
      <c r="Q15" s="20"/>
      <c r="R15" s="20"/>
      <c r="S15" s="20"/>
      <c r="T15" s="20"/>
      <c r="U15" s="20"/>
      <c r="V15" s="20"/>
    </row>
    <row r="16" spans="1:35" s="14" customFormat="1" outlineLevel="1" x14ac:dyDescent="0.2">
      <c r="B16" s="15" t="s">
        <v>15</v>
      </c>
      <c r="C16" s="15"/>
      <c r="D16" s="15"/>
      <c r="E16" s="15"/>
    </row>
    <row r="17" spans="1:21" s="14" customFormat="1" outlineLevel="1" x14ac:dyDescent="0.2"/>
    <row r="18" spans="1:21" s="4" customFormat="1" ht="14.25" customHeight="1" outlineLevel="1" x14ac:dyDescent="0.25">
      <c r="A18" s="6"/>
      <c r="B18" s="17" t="s">
        <v>18</v>
      </c>
      <c r="C18" s="17"/>
      <c r="D18" s="17"/>
      <c r="E18" s="17"/>
      <c r="F18" s="22" t="s">
        <v>23</v>
      </c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</row>
    <row r="19" spans="1:21" s="4" customFormat="1" ht="12.75" customHeight="1" outlineLevel="1" x14ac:dyDescent="0.25">
      <c r="A19" s="6"/>
      <c r="B19" s="23"/>
      <c r="C19" s="23"/>
      <c r="D19" s="23"/>
      <c r="E19" s="23"/>
      <c r="F19" s="24">
        <v>2004</v>
      </c>
      <c r="G19" s="24">
        <v>2006</v>
      </c>
      <c r="H19" s="24">
        <v>2007</v>
      </c>
      <c r="I19" s="24">
        <v>2008</v>
      </c>
      <c r="J19" s="24">
        <v>2009</v>
      </c>
      <c r="K19" s="24">
        <v>2010</v>
      </c>
      <c r="L19" s="24">
        <v>2011</v>
      </c>
      <c r="M19" s="24">
        <v>2012</v>
      </c>
      <c r="N19" s="24">
        <v>2013</v>
      </c>
      <c r="O19" s="24">
        <v>2014</v>
      </c>
      <c r="P19" s="24">
        <v>2015</v>
      </c>
      <c r="Q19" s="24">
        <v>2016</v>
      </c>
      <c r="R19" s="24">
        <v>2017</v>
      </c>
      <c r="S19" s="24">
        <v>2018</v>
      </c>
      <c r="T19" s="24">
        <v>2019</v>
      </c>
      <c r="U19" s="24">
        <v>2020</v>
      </c>
    </row>
    <row r="20" spans="1:21" s="14" customFormat="1" outlineLevel="1" x14ac:dyDescent="0.2">
      <c r="B20" s="14" t="s">
        <v>19</v>
      </c>
      <c r="F20" s="25"/>
      <c r="G20" s="25"/>
      <c r="H20" s="25"/>
      <c r="I20" s="25"/>
      <c r="J20" s="25"/>
      <c r="K20" s="25"/>
      <c r="L20" s="25"/>
      <c r="M20" s="26">
        <v>49.86</v>
      </c>
      <c r="N20" s="26">
        <v>49.69</v>
      </c>
      <c r="O20" s="26">
        <v>49.46</v>
      </c>
      <c r="P20" s="25">
        <f>+O20</f>
        <v>49.46</v>
      </c>
      <c r="Q20" s="26">
        <v>49.58</v>
      </c>
      <c r="R20" s="25">
        <f t="shared" ref="R20:T22" si="1">+Q20</f>
        <v>49.58</v>
      </c>
      <c r="S20" s="25">
        <f t="shared" si="1"/>
        <v>49.58</v>
      </c>
      <c r="T20" s="25">
        <f t="shared" si="1"/>
        <v>49.58</v>
      </c>
      <c r="U20" s="25"/>
    </row>
    <row r="21" spans="1:21" s="14" customFormat="1" outlineLevel="1" x14ac:dyDescent="0.2">
      <c r="B21" s="14" t="s">
        <v>20</v>
      </c>
      <c r="F21" s="25"/>
      <c r="G21" s="25"/>
      <c r="H21" s="25"/>
      <c r="I21" s="25"/>
      <c r="J21" s="25"/>
      <c r="K21" s="25"/>
      <c r="L21" s="25"/>
      <c r="M21" s="26">
        <v>1E-3</v>
      </c>
      <c r="N21" s="26">
        <v>1E-3</v>
      </c>
      <c r="O21" s="26">
        <v>1E-3</v>
      </c>
      <c r="P21" s="25">
        <f>+O21</f>
        <v>1E-3</v>
      </c>
      <c r="Q21" s="26">
        <v>1E-3</v>
      </c>
      <c r="R21" s="25">
        <f t="shared" si="1"/>
        <v>1E-3</v>
      </c>
      <c r="S21" s="25">
        <f t="shared" si="1"/>
        <v>1E-3</v>
      </c>
      <c r="T21" s="25">
        <f t="shared" si="1"/>
        <v>1E-3</v>
      </c>
      <c r="U21" s="25"/>
    </row>
    <row r="22" spans="1:21" s="14" customFormat="1" outlineLevel="1" x14ac:dyDescent="0.2">
      <c r="B22" s="14" t="s">
        <v>21</v>
      </c>
      <c r="F22" s="25"/>
      <c r="G22" s="25"/>
      <c r="H22" s="25"/>
      <c r="I22" s="25"/>
      <c r="J22" s="25"/>
      <c r="K22" s="25"/>
      <c r="L22" s="25"/>
      <c r="M22" s="26">
        <v>8.9999999999999998E-4</v>
      </c>
      <c r="N22" s="26">
        <v>8.9999999999999998E-4</v>
      </c>
      <c r="O22" s="26">
        <v>8.9999999999999998E-4</v>
      </c>
      <c r="P22" s="25">
        <f>+O22</f>
        <v>8.9999999999999998E-4</v>
      </c>
      <c r="Q22" s="26">
        <v>8.9999999999999998E-4</v>
      </c>
      <c r="R22" s="25">
        <f t="shared" si="1"/>
        <v>8.9999999999999998E-4</v>
      </c>
      <c r="S22" s="25">
        <f t="shared" si="1"/>
        <v>8.9999999999999998E-4</v>
      </c>
      <c r="T22" s="25">
        <f t="shared" si="1"/>
        <v>8.9999999999999998E-4</v>
      </c>
      <c r="U22" s="25"/>
    </row>
    <row r="23" spans="1:21" s="14" customFormat="1" outlineLevel="1" x14ac:dyDescent="0.2">
      <c r="B23" s="27" t="s">
        <v>24</v>
      </c>
      <c r="C23" s="28"/>
      <c r="D23" s="28"/>
      <c r="E23" s="28"/>
      <c r="F23" s="29">
        <f>+$F$15</f>
        <v>5.1367292225201075E-2</v>
      </c>
      <c r="G23" s="29">
        <f t="shared" ref="G23:L23" si="2">+$F$15</f>
        <v>5.1367292225201075E-2</v>
      </c>
      <c r="H23" s="29">
        <f t="shared" si="2"/>
        <v>5.1367292225201075E-2</v>
      </c>
      <c r="I23" s="29">
        <f t="shared" si="2"/>
        <v>5.1367292225201075E-2</v>
      </c>
      <c r="J23" s="29">
        <f t="shared" si="2"/>
        <v>5.1367292225201075E-2</v>
      </c>
      <c r="K23" s="29">
        <f t="shared" si="2"/>
        <v>5.1367292225201075E-2</v>
      </c>
      <c r="L23" s="29">
        <f t="shared" si="2"/>
        <v>5.1367292225201075E-2</v>
      </c>
      <c r="M23" s="29">
        <f t="shared" ref="M23:T23" si="3">+SUMPRODUCT(M$20:M$22,$O$6:$O$8)/1000</f>
        <v>5.0153199999999995E-2</v>
      </c>
      <c r="N23" s="29">
        <f t="shared" si="3"/>
        <v>4.9983199999999998E-2</v>
      </c>
      <c r="O23" s="29">
        <f t="shared" si="3"/>
        <v>4.9753199999999997E-2</v>
      </c>
      <c r="P23" s="29">
        <f t="shared" si="3"/>
        <v>4.9753199999999997E-2</v>
      </c>
      <c r="Q23" s="29">
        <f t="shared" si="3"/>
        <v>4.9873199999999999E-2</v>
      </c>
      <c r="R23" s="29">
        <f t="shared" si="3"/>
        <v>4.9873199999999999E-2</v>
      </c>
      <c r="S23" s="29">
        <f t="shared" si="3"/>
        <v>4.9873199999999999E-2</v>
      </c>
      <c r="T23" s="29">
        <f t="shared" si="3"/>
        <v>4.9873199999999999E-2</v>
      </c>
      <c r="U23" s="30"/>
    </row>
    <row r="24" spans="1:21" s="14" customFormat="1" outlineLevel="1" x14ac:dyDescent="0.2">
      <c r="B24" s="27"/>
      <c r="C24" s="28"/>
      <c r="D24" s="28"/>
      <c r="E24" s="28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2"/>
      <c r="S24" s="32"/>
      <c r="T24" s="31"/>
      <c r="U24" s="31"/>
    </row>
    <row r="25" spans="1:21" s="14" customFormat="1" x14ac:dyDescent="0.2">
      <c r="B25" s="27"/>
      <c r="C25" s="28"/>
      <c r="D25" s="28"/>
      <c r="E25" s="28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  <c r="S25" s="32"/>
      <c r="T25" s="31"/>
      <c r="U25" s="31"/>
    </row>
    <row r="26" spans="1:21" s="14" customFormat="1" ht="15.75" x14ac:dyDescent="0.25">
      <c r="B26" s="7" t="s">
        <v>25</v>
      </c>
      <c r="C26" s="7"/>
      <c r="D26" s="7"/>
      <c r="E26" s="7"/>
      <c r="F26" s="8" t="s">
        <v>5</v>
      </c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3"/>
      <c r="R26" s="33"/>
      <c r="S26" s="33"/>
      <c r="T26" s="33"/>
      <c r="U26" s="33"/>
    </row>
    <row r="27" spans="1:21" s="14" customFormat="1" ht="14.25" outlineLevel="1" x14ac:dyDescent="0.2">
      <c r="B27" s="17" t="s">
        <v>18</v>
      </c>
      <c r="C27" s="17"/>
      <c r="D27" s="17"/>
      <c r="E27" s="17"/>
      <c r="F27" s="22" t="s">
        <v>23</v>
      </c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</row>
    <row r="28" spans="1:21" s="14" customFormat="1" outlineLevel="1" x14ac:dyDescent="0.2">
      <c r="B28" s="23"/>
      <c r="C28" s="23"/>
      <c r="D28" s="23"/>
      <c r="E28" s="23"/>
      <c r="F28" s="24">
        <v>2004</v>
      </c>
      <c r="G28" s="24">
        <v>2006</v>
      </c>
      <c r="H28" s="24">
        <v>2007</v>
      </c>
      <c r="I28" s="24">
        <v>2008</v>
      </c>
      <c r="J28" s="24">
        <v>2009</v>
      </c>
      <c r="K28" s="24">
        <v>2010</v>
      </c>
      <c r="L28" s="24">
        <v>2011</v>
      </c>
      <c r="M28" s="24">
        <v>2012</v>
      </c>
      <c r="N28" s="24">
        <v>2013</v>
      </c>
      <c r="O28" s="24">
        <v>2014</v>
      </c>
      <c r="P28" s="24">
        <v>2015</v>
      </c>
      <c r="Q28" s="24">
        <v>2016</v>
      </c>
      <c r="R28" s="24">
        <v>2017</v>
      </c>
      <c r="S28" s="24">
        <v>2018</v>
      </c>
      <c r="T28" s="24">
        <v>2019</v>
      </c>
      <c r="U28" s="24">
        <v>2020</v>
      </c>
    </row>
    <row r="29" spans="1:21" s="14" customFormat="1" outlineLevel="1" x14ac:dyDescent="0.2">
      <c r="B29" s="14" t="s">
        <v>26</v>
      </c>
      <c r="F29" s="25"/>
      <c r="G29" s="25"/>
      <c r="H29" s="25"/>
      <c r="I29" s="25"/>
      <c r="J29" s="25"/>
      <c r="K29" s="25"/>
      <c r="L29" s="25"/>
      <c r="M29" s="26">
        <v>49.86</v>
      </c>
      <c r="N29" s="26">
        <v>49.69</v>
      </c>
      <c r="O29" s="26">
        <v>49.46</v>
      </c>
      <c r="P29" s="25">
        <v>49.46</v>
      </c>
      <c r="Q29" s="25">
        <v>49.58</v>
      </c>
      <c r="R29" s="25">
        <v>49.58</v>
      </c>
      <c r="S29" s="25">
        <v>49.58</v>
      </c>
      <c r="T29" s="25">
        <v>49.58</v>
      </c>
      <c r="U29" s="25"/>
    </row>
    <row r="30" spans="1:21" s="14" customFormat="1" outlineLevel="1" x14ac:dyDescent="0.2">
      <c r="F30" s="25"/>
      <c r="G30" s="25"/>
      <c r="H30" s="25"/>
      <c r="I30" s="25"/>
      <c r="J30" s="25"/>
      <c r="K30" s="25"/>
      <c r="L30" s="25"/>
      <c r="M30" s="26">
        <v>0</v>
      </c>
      <c r="N30" s="26">
        <v>0</v>
      </c>
      <c r="O30" s="26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/>
    </row>
    <row r="31" spans="1:21" s="14" customFormat="1" outlineLevel="1" x14ac:dyDescent="0.2">
      <c r="B31" s="14" t="s">
        <v>20</v>
      </c>
      <c r="F31" s="25"/>
      <c r="G31" s="25"/>
      <c r="H31" s="25"/>
      <c r="I31" s="25"/>
      <c r="J31" s="25"/>
      <c r="K31" s="25"/>
      <c r="L31" s="25"/>
      <c r="M31" s="26">
        <v>1E-3</v>
      </c>
      <c r="N31" s="26">
        <v>1E-3</v>
      </c>
      <c r="O31" s="26">
        <v>1E-3</v>
      </c>
      <c r="P31" s="25">
        <v>1E-3</v>
      </c>
      <c r="Q31" s="25">
        <v>1E-3</v>
      </c>
      <c r="R31" s="25">
        <v>1E-3</v>
      </c>
      <c r="S31" s="25">
        <v>1E-3</v>
      </c>
      <c r="T31" s="25">
        <v>1E-3</v>
      </c>
      <c r="U31" s="25"/>
    </row>
    <row r="32" spans="1:21" s="14" customFormat="1" outlineLevel="1" x14ac:dyDescent="0.2">
      <c r="B32" s="14" t="s">
        <v>21</v>
      </c>
      <c r="F32" s="25"/>
      <c r="G32" s="25"/>
      <c r="H32" s="25"/>
      <c r="I32" s="25"/>
      <c r="J32" s="25"/>
      <c r="K32" s="25"/>
      <c r="L32" s="25"/>
      <c r="M32" s="26">
        <v>8.9999999999999998E-4</v>
      </c>
      <c r="N32" s="26">
        <v>8.9999999999999998E-4</v>
      </c>
      <c r="O32" s="26">
        <v>8.9999999999999998E-4</v>
      </c>
      <c r="P32" s="25">
        <v>8.9999999999999998E-4</v>
      </c>
      <c r="Q32" s="25">
        <v>8.9999999999999998E-4</v>
      </c>
      <c r="R32" s="25">
        <v>8.9999999999999998E-4</v>
      </c>
      <c r="S32" s="25">
        <v>8.9999999999999998E-4</v>
      </c>
      <c r="T32" s="25">
        <v>8.9999999999999998E-4</v>
      </c>
      <c r="U32" s="25"/>
    </row>
    <row r="33" spans="1:27" s="14" customFormat="1" outlineLevel="1" x14ac:dyDescent="0.2">
      <c r="B33" s="27" t="s">
        <v>24</v>
      </c>
      <c r="C33" s="28"/>
      <c r="D33" s="28"/>
      <c r="E33" s="28"/>
      <c r="F33" s="29">
        <f t="shared" ref="F33:K33" si="4">+G33</f>
        <v>2.9320000000000003E-4</v>
      </c>
      <c r="G33" s="29">
        <f t="shared" si="4"/>
        <v>2.9320000000000003E-4</v>
      </c>
      <c r="H33" s="29">
        <f t="shared" si="4"/>
        <v>2.9320000000000003E-4</v>
      </c>
      <c r="I33" s="29">
        <f t="shared" si="4"/>
        <v>2.9320000000000003E-4</v>
      </c>
      <c r="J33" s="29">
        <f t="shared" si="4"/>
        <v>2.9320000000000003E-4</v>
      </c>
      <c r="K33" s="29">
        <f t="shared" si="4"/>
        <v>2.9320000000000003E-4</v>
      </c>
      <c r="L33" s="29">
        <f>+M33</f>
        <v>2.9320000000000003E-4</v>
      </c>
      <c r="M33" s="29">
        <f t="shared" ref="M33:T33" si="5">+SUMPRODUCT(M$31:M$32,$O$7:$O$8)/1000</f>
        <v>2.9320000000000003E-4</v>
      </c>
      <c r="N33" s="29">
        <f t="shared" si="5"/>
        <v>2.9320000000000003E-4</v>
      </c>
      <c r="O33" s="29">
        <f t="shared" si="5"/>
        <v>2.9320000000000003E-4</v>
      </c>
      <c r="P33" s="29">
        <f t="shared" si="5"/>
        <v>2.9320000000000003E-4</v>
      </c>
      <c r="Q33" s="29">
        <f t="shared" si="5"/>
        <v>2.9320000000000003E-4</v>
      </c>
      <c r="R33" s="29">
        <f t="shared" si="5"/>
        <v>2.9320000000000003E-4</v>
      </c>
      <c r="S33" s="29">
        <f t="shared" si="5"/>
        <v>2.9320000000000003E-4</v>
      </c>
      <c r="T33" s="29">
        <f t="shared" si="5"/>
        <v>2.9320000000000003E-4</v>
      </c>
      <c r="U33" s="29"/>
    </row>
    <row r="34" spans="1:27" s="14" customFormat="1" outlineLevel="1" x14ac:dyDescent="0.2">
      <c r="B34" s="27"/>
      <c r="C34" s="28"/>
      <c r="D34" s="28"/>
      <c r="E34" s="28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</row>
    <row r="35" spans="1:27" s="14" customFormat="1" x14ac:dyDescent="0.2"/>
    <row r="36" spans="1:27" s="11" customFormat="1" ht="15.75" x14ac:dyDescent="0.25">
      <c r="B36" s="7" t="s">
        <v>27</v>
      </c>
      <c r="C36" s="7"/>
      <c r="D36" s="7"/>
      <c r="E36" s="7"/>
      <c r="F36" s="8" t="s">
        <v>5</v>
      </c>
    </row>
    <row r="37" spans="1:27" s="37" customFormat="1" ht="12.75" customHeight="1" outlineLevel="1" x14ac:dyDescent="0.2">
      <c r="A37" s="34"/>
      <c r="B37" s="35" t="s">
        <v>28</v>
      </c>
      <c r="C37" s="15"/>
      <c r="D37" s="15"/>
      <c r="E37" s="15"/>
      <c r="F37" s="34"/>
      <c r="G37" s="36"/>
    </row>
    <row r="38" spans="1:27" s="37" customFormat="1" outlineLevel="1" x14ac:dyDescent="0.2">
      <c r="B38" s="38"/>
      <c r="C38" s="38"/>
      <c r="D38" s="38"/>
      <c r="E38" s="38"/>
      <c r="F38" s="34"/>
      <c r="G38" s="36"/>
    </row>
    <row r="39" spans="1:27" s="4" customFormat="1" ht="14.25" customHeight="1" outlineLevel="1" x14ac:dyDescent="0.25">
      <c r="A39" s="6"/>
      <c r="B39" s="17" t="s">
        <v>29</v>
      </c>
      <c r="C39" s="17"/>
      <c r="D39" s="17"/>
      <c r="E39" s="17"/>
      <c r="F39" s="22" t="s">
        <v>30</v>
      </c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</row>
    <row r="40" spans="1:27" s="37" customFormat="1" outlineLevel="1" x14ac:dyDescent="0.2">
      <c r="A40" s="39"/>
      <c r="B40" s="23"/>
      <c r="C40" s="23"/>
      <c r="D40" s="23"/>
      <c r="E40" s="23"/>
      <c r="F40" s="24">
        <v>2004</v>
      </c>
      <c r="G40" s="24">
        <v>2006</v>
      </c>
      <c r="H40" s="24">
        <v>2007</v>
      </c>
      <c r="I40" s="24">
        <v>2008</v>
      </c>
      <c r="J40" s="24">
        <v>2009</v>
      </c>
      <c r="K40" s="24">
        <v>2010</v>
      </c>
      <c r="L40" s="24">
        <v>2011</v>
      </c>
      <c r="M40" s="24">
        <v>2012</v>
      </c>
      <c r="N40" s="24">
        <v>2013</v>
      </c>
      <c r="O40" s="24">
        <v>2014</v>
      </c>
      <c r="P40" s="24">
        <v>2015</v>
      </c>
      <c r="Q40" s="24">
        <v>2016</v>
      </c>
      <c r="R40" s="24">
        <v>2017</v>
      </c>
      <c r="S40" s="24">
        <v>2018</v>
      </c>
      <c r="T40" s="24">
        <v>2019</v>
      </c>
      <c r="U40" s="24">
        <v>2020</v>
      </c>
    </row>
    <row r="41" spans="1:27" s="37" customFormat="1" ht="25.5" outlineLevel="1" x14ac:dyDescent="0.2">
      <c r="A41" s="39"/>
      <c r="B41" s="40" t="s">
        <v>31</v>
      </c>
      <c r="C41" s="40"/>
      <c r="D41" s="40"/>
      <c r="E41" s="40"/>
      <c r="F41" s="41">
        <v>10</v>
      </c>
      <c r="G41" s="25">
        <v>14</v>
      </c>
      <c r="H41" s="25">
        <v>6</v>
      </c>
      <c r="I41" s="25">
        <v>8</v>
      </c>
      <c r="J41" s="25">
        <v>8</v>
      </c>
      <c r="K41" s="25">
        <v>6</v>
      </c>
      <c r="L41" s="25">
        <v>4</v>
      </c>
      <c r="M41" s="25">
        <v>4</v>
      </c>
      <c r="N41" s="25">
        <v>5</v>
      </c>
      <c r="O41" s="25">
        <v>4</v>
      </c>
      <c r="P41" s="25"/>
      <c r="Q41" s="25"/>
      <c r="R41" s="25"/>
      <c r="S41" s="25"/>
      <c r="T41" s="25"/>
      <c r="U41" s="25"/>
    </row>
    <row r="42" spans="1:27" s="37" customFormat="1" ht="25.5" outlineLevel="1" x14ac:dyDescent="0.2">
      <c r="A42" s="39"/>
      <c r="B42" s="42" t="s">
        <v>32</v>
      </c>
      <c r="C42" s="42"/>
      <c r="D42" s="42"/>
      <c r="E42" s="42"/>
      <c r="F42" s="43">
        <v>577</v>
      </c>
      <c r="G42" s="43">
        <v>569</v>
      </c>
      <c r="H42" s="43">
        <v>585</v>
      </c>
      <c r="I42" s="43">
        <v>570</v>
      </c>
      <c r="J42" s="43">
        <v>570</v>
      </c>
      <c r="K42" s="43">
        <v>549</v>
      </c>
      <c r="L42" s="43">
        <v>589</v>
      </c>
      <c r="M42" s="43">
        <v>594</v>
      </c>
      <c r="N42" s="43">
        <v>569</v>
      </c>
      <c r="O42" s="43">
        <v>593</v>
      </c>
      <c r="P42" s="43"/>
      <c r="Q42" s="43"/>
      <c r="R42" s="43"/>
      <c r="S42" s="43"/>
      <c r="T42" s="43"/>
      <c r="U42" s="43"/>
    </row>
    <row r="43" spans="1:27" s="37" customFormat="1" ht="25.5" outlineLevel="1" x14ac:dyDescent="0.2">
      <c r="A43" s="39"/>
      <c r="B43" s="42" t="s">
        <v>33</v>
      </c>
      <c r="C43" s="42"/>
      <c r="D43" s="42"/>
      <c r="E43" s="42"/>
      <c r="F43" s="43">
        <v>29</v>
      </c>
      <c r="G43" s="43">
        <v>27</v>
      </c>
      <c r="H43" s="43">
        <v>23</v>
      </c>
      <c r="I43" s="43">
        <v>28</v>
      </c>
      <c r="J43" s="43">
        <v>25</v>
      </c>
      <c r="K43" s="43">
        <v>23</v>
      </c>
      <c r="L43" s="43">
        <v>9</v>
      </c>
      <c r="M43" s="43">
        <v>9</v>
      </c>
      <c r="N43" s="43">
        <v>12</v>
      </c>
      <c r="O43" s="44">
        <v>11</v>
      </c>
      <c r="P43" s="44"/>
      <c r="Q43" s="44"/>
      <c r="R43" s="44"/>
      <c r="S43" s="45"/>
      <c r="T43" s="44"/>
      <c r="U43" s="45"/>
    </row>
    <row r="44" spans="1:27" s="37" customFormat="1" outlineLevel="1" x14ac:dyDescent="0.2">
      <c r="A44" s="39"/>
      <c r="B44" s="46" t="s">
        <v>34</v>
      </c>
      <c r="C44" s="46"/>
      <c r="D44" s="46"/>
      <c r="E44" s="46"/>
      <c r="F44" s="47">
        <v>29</v>
      </c>
      <c r="G44" s="47">
        <v>27</v>
      </c>
      <c r="H44" s="47">
        <v>23</v>
      </c>
      <c r="I44" s="47">
        <v>28</v>
      </c>
      <c r="J44" s="47">
        <v>25</v>
      </c>
      <c r="K44" s="48">
        <f>ROUND(AVERAGE(H43:J43),0)</f>
        <v>25</v>
      </c>
      <c r="L44" s="48">
        <f>ROUND(AVERAGE(I43:K43),0)</f>
        <v>25</v>
      </c>
      <c r="M44" s="48">
        <f>L44</f>
        <v>25</v>
      </c>
      <c r="N44" s="48">
        <f>ROUND(AVERAGE(K43:M43),0)</f>
        <v>14</v>
      </c>
      <c r="O44" s="49">
        <f>ROUND(AVERAGE(L43:N43),0)</f>
        <v>10</v>
      </c>
      <c r="P44" s="49">
        <v>10</v>
      </c>
      <c r="Q44" s="50">
        <f>AVERAGE(M43:O43)</f>
        <v>10.666666666666666</v>
      </c>
      <c r="R44" s="51">
        <f>+Q44</f>
        <v>10.666666666666666</v>
      </c>
      <c r="S44" s="52">
        <f>+R44</f>
        <v>10.666666666666666</v>
      </c>
      <c r="T44" s="52">
        <f>+S44</f>
        <v>10.666666666666666</v>
      </c>
      <c r="U44" s="53"/>
      <c r="V44" s="54"/>
      <c r="W44" s="54"/>
      <c r="X44" s="54"/>
      <c r="Y44" s="54"/>
      <c r="Z44" s="54"/>
      <c r="AA44" s="54"/>
    </row>
    <row r="45" spans="1:27" s="37" customFormat="1" outlineLevel="1" x14ac:dyDescent="0.2">
      <c r="A45" s="39"/>
      <c r="B45" s="27" t="s">
        <v>35</v>
      </c>
      <c r="C45" s="27"/>
      <c r="D45" s="27"/>
      <c r="E45" s="27"/>
      <c r="F45" s="55">
        <f t="shared" ref="F45:U45" si="6">F44/1000000</f>
        <v>2.9E-5</v>
      </c>
      <c r="G45" s="55">
        <f t="shared" si="6"/>
        <v>2.6999999999999999E-5</v>
      </c>
      <c r="H45" s="55">
        <f t="shared" si="6"/>
        <v>2.3E-5</v>
      </c>
      <c r="I45" s="55">
        <f t="shared" si="6"/>
        <v>2.8E-5</v>
      </c>
      <c r="J45" s="55">
        <f t="shared" si="6"/>
        <v>2.5000000000000001E-5</v>
      </c>
      <c r="K45" s="55">
        <f t="shared" si="6"/>
        <v>2.5000000000000001E-5</v>
      </c>
      <c r="L45" s="55">
        <f t="shared" si="6"/>
        <v>2.5000000000000001E-5</v>
      </c>
      <c r="M45" s="55">
        <f t="shared" si="6"/>
        <v>2.5000000000000001E-5</v>
      </c>
      <c r="N45" s="55">
        <f t="shared" si="6"/>
        <v>1.4E-5</v>
      </c>
      <c r="O45" s="55">
        <f t="shared" si="6"/>
        <v>1.0000000000000001E-5</v>
      </c>
      <c r="P45" s="29">
        <f t="shared" si="6"/>
        <v>1.0000000000000001E-5</v>
      </c>
      <c r="Q45" s="56">
        <f t="shared" si="6"/>
        <v>1.0666666666666666E-5</v>
      </c>
      <c r="R45" s="56">
        <f t="shared" si="6"/>
        <v>1.0666666666666666E-5</v>
      </c>
      <c r="S45" s="56">
        <f t="shared" si="6"/>
        <v>1.0666666666666666E-5</v>
      </c>
      <c r="T45" s="56">
        <f t="shared" si="6"/>
        <v>1.0666666666666666E-5</v>
      </c>
      <c r="U45" s="56">
        <f t="shared" si="6"/>
        <v>0</v>
      </c>
      <c r="V45" s="54"/>
      <c r="W45" s="54"/>
      <c r="X45" s="54"/>
      <c r="Y45" s="54"/>
      <c r="Z45" s="54"/>
      <c r="AA45" s="54"/>
    </row>
    <row r="46" spans="1:27" s="37" customFormat="1" ht="6.75" customHeight="1" outlineLevel="1" x14ac:dyDescent="0.2">
      <c r="A46" s="39"/>
      <c r="B46" s="27"/>
      <c r="C46" s="27"/>
      <c r="D46" s="27"/>
      <c r="E46" s="27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4"/>
      <c r="W46" s="54"/>
      <c r="X46" s="54"/>
      <c r="Y46" s="54"/>
      <c r="Z46" s="54"/>
      <c r="AA46" s="54"/>
    </row>
    <row r="47" spans="1:27" s="37" customFormat="1" outlineLevel="1" x14ac:dyDescent="0.2">
      <c r="A47" s="39"/>
      <c r="B47" s="27" t="s">
        <v>24</v>
      </c>
      <c r="C47" s="27"/>
      <c r="D47" s="27"/>
      <c r="E47" s="27"/>
      <c r="F47" s="55">
        <f t="shared" ref="F47:U47" si="7">+F45/$F$64</f>
        <v>8.0555555555555554E-3</v>
      </c>
      <c r="G47" s="55">
        <f t="shared" si="7"/>
        <v>7.4999999999999997E-3</v>
      </c>
      <c r="H47" s="55">
        <f t="shared" si="7"/>
        <v>6.3888888888888893E-3</v>
      </c>
      <c r="I47" s="55">
        <f t="shared" si="7"/>
        <v>7.7777777777777776E-3</v>
      </c>
      <c r="J47" s="55">
        <f t="shared" si="7"/>
        <v>6.9444444444444449E-3</v>
      </c>
      <c r="K47" s="55">
        <f t="shared" si="7"/>
        <v>6.9444444444444449E-3</v>
      </c>
      <c r="L47" s="55">
        <f t="shared" si="7"/>
        <v>6.9444444444444449E-3</v>
      </c>
      <c r="M47" s="55">
        <f t="shared" si="7"/>
        <v>6.9444444444444449E-3</v>
      </c>
      <c r="N47" s="55">
        <f t="shared" si="7"/>
        <v>3.8888888888888888E-3</v>
      </c>
      <c r="O47" s="55">
        <f t="shared" si="7"/>
        <v>2.7777777777777779E-3</v>
      </c>
      <c r="P47" s="55">
        <f t="shared" si="7"/>
        <v>2.7777777777777779E-3</v>
      </c>
      <c r="Q47" s="55">
        <f t="shared" si="7"/>
        <v>2.9629629629629628E-3</v>
      </c>
      <c r="R47" s="55">
        <f t="shared" si="7"/>
        <v>2.9629629629629628E-3</v>
      </c>
      <c r="S47" s="55">
        <f t="shared" si="7"/>
        <v>2.9629629629629628E-3</v>
      </c>
      <c r="T47" s="55">
        <f t="shared" si="7"/>
        <v>2.9629629629629628E-3</v>
      </c>
      <c r="U47" s="55">
        <f t="shared" si="7"/>
        <v>0</v>
      </c>
      <c r="V47" s="54"/>
      <c r="W47" s="54"/>
      <c r="X47" s="54"/>
      <c r="Y47" s="54"/>
      <c r="Z47" s="54"/>
      <c r="AA47" s="54"/>
    </row>
    <row r="48" spans="1:27" s="37" customFormat="1" outlineLevel="1" x14ac:dyDescent="0.2">
      <c r="A48" s="39"/>
      <c r="B48" s="27"/>
      <c r="C48" s="27"/>
      <c r="D48" s="27"/>
      <c r="E48" s="2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4"/>
      <c r="W48" s="54"/>
      <c r="X48" s="54"/>
      <c r="Y48" s="54"/>
      <c r="Z48" s="54"/>
      <c r="AA48" s="54"/>
    </row>
    <row r="49" spans="1:35" s="37" customFormat="1" outlineLevel="1" x14ac:dyDescent="0.2">
      <c r="A49" s="39"/>
      <c r="B49" s="27" t="s">
        <v>36</v>
      </c>
      <c r="C49" s="27"/>
      <c r="D49" s="27"/>
      <c r="E49" s="27"/>
      <c r="F49" s="58"/>
      <c r="G49" s="58"/>
      <c r="H49" s="58"/>
      <c r="I49" s="58"/>
      <c r="J49" s="58"/>
      <c r="K49" s="58"/>
      <c r="L49" s="58"/>
      <c r="M49" s="58"/>
      <c r="N49" s="58">
        <v>98.2</v>
      </c>
      <c r="O49" s="58">
        <v>97.1</v>
      </c>
      <c r="P49" s="58">
        <v>97.9</v>
      </c>
      <c r="Q49" s="58">
        <v>98.2</v>
      </c>
      <c r="R49" s="58">
        <v>98.4</v>
      </c>
      <c r="S49" s="58">
        <v>98</v>
      </c>
      <c r="T49" s="58"/>
      <c r="U49" s="58"/>
      <c r="V49" s="54"/>
      <c r="W49" s="54"/>
      <c r="X49" s="54"/>
      <c r="Y49" s="54"/>
      <c r="Z49" s="54"/>
      <c r="AA49" s="54"/>
    </row>
    <row r="50" spans="1:35" s="14" customFormat="1" x14ac:dyDescent="0.2"/>
    <row r="51" spans="1:35" s="14" customFormat="1" x14ac:dyDescent="0.2"/>
    <row r="52" spans="1:35" x14ac:dyDescent="0.2">
      <c r="G52" s="39"/>
      <c r="V52" s="14"/>
      <c r="W52" s="14"/>
      <c r="X52" s="14"/>
      <c r="Y52" s="14"/>
    </row>
    <row r="53" spans="1:35" ht="12.75" customHeight="1" x14ac:dyDescent="0.2">
      <c r="G53" s="39"/>
      <c r="U53" s="60"/>
      <c r="V53" s="14"/>
      <c r="W53" s="14"/>
      <c r="X53" s="14"/>
      <c r="Y53" s="14"/>
    </row>
    <row r="54" spans="1:35" ht="15.75" x14ac:dyDescent="0.25">
      <c r="B54" s="7" t="s">
        <v>39</v>
      </c>
      <c r="C54" s="7"/>
      <c r="D54" s="7"/>
      <c r="E54" s="7"/>
      <c r="F54" s="8" t="s">
        <v>5</v>
      </c>
      <c r="G54" s="61"/>
      <c r="M54" s="241" t="s">
        <v>174</v>
      </c>
      <c r="U54" s="60"/>
      <c r="V54" s="14"/>
      <c r="W54" s="14"/>
      <c r="X54" s="14"/>
      <c r="Y54" s="14"/>
    </row>
    <row r="55" spans="1:35" ht="12.75" customHeight="1" outlineLevel="1" x14ac:dyDescent="0.2">
      <c r="B55" s="62" t="s">
        <v>6</v>
      </c>
      <c r="C55" s="62"/>
      <c r="D55" s="62"/>
      <c r="E55" s="62"/>
      <c r="F55" s="63" t="s">
        <v>40</v>
      </c>
      <c r="G55" s="64" t="s">
        <v>8</v>
      </c>
      <c r="H55" s="62" t="s">
        <v>9</v>
      </c>
      <c r="I55" s="65"/>
      <c r="J55" s="65"/>
      <c r="K55" s="65"/>
      <c r="L55" s="65"/>
      <c r="M55" s="63" t="s">
        <v>40</v>
      </c>
      <c r="N55" s="64" t="s">
        <v>8</v>
      </c>
      <c r="O55" s="62" t="s">
        <v>9</v>
      </c>
      <c r="P55" s="65"/>
      <c r="T55" s="65"/>
      <c r="U55" s="65"/>
      <c r="V55" s="14"/>
      <c r="W55" s="14"/>
      <c r="X55" s="14"/>
      <c r="Y55" s="14"/>
      <c r="Z55" s="65"/>
      <c r="AA55" s="65"/>
      <c r="AB55" s="65"/>
      <c r="AC55" s="65"/>
      <c r="AD55" s="65"/>
      <c r="AE55" s="65"/>
      <c r="AF55" s="65"/>
      <c r="AG55" s="65"/>
      <c r="AH55" s="65"/>
      <c r="AI55" s="65"/>
    </row>
    <row r="56" spans="1:35" ht="12.75" customHeight="1" outlineLevel="1" x14ac:dyDescent="0.2">
      <c r="B56" s="14" t="s">
        <v>38</v>
      </c>
      <c r="C56" s="14"/>
      <c r="D56" s="14"/>
      <c r="E56" s="14"/>
      <c r="F56" s="66">
        <v>1.0568699999999999E-3</v>
      </c>
      <c r="G56" s="28" t="s">
        <v>41</v>
      </c>
      <c r="H56" s="67" t="s">
        <v>42</v>
      </c>
      <c r="V56" s="14"/>
      <c r="W56" s="14"/>
      <c r="X56" s="14"/>
      <c r="Y56" s="14"/>
    </row>
    <row r="57" spans="1:35" ht="12.75" customHeight="1" outlineLevel="1" x14ac:dyDescent="0.2">
      <c r="B57" s="14" t="s">
        <v>43</v>
      </c>
      <c r="C57" s="14"/>
      <c r="D57" s="14"/>
      <c r="E57" s="14"/>
      <c r="F57" s="68">
        <v>3.73E-2</v>
      </c>
      <c r="G57" s="69" t="s">
        <v>44</v>
      </c>
      <c r="H57" s="15" t="s">
        <v>45</v>
      </c>
      <c r="M57" s="39">
        <v>60.84</v>
      </c>
      <c r="N57" s="39" t="s">
        <v>153</v>
      </c>
      <c r="V57" s="14"/>
      <c r="W57" s="14"/>
      <c r="X57" s="14"/>
      <c r="Y57" s="14"/>
    </row>
    <row r="58" spans="1:35" ht="12.75" customHeight="1" outlineLevel="1" x14ac:dyDescent="0.2">
      <c r="B58" s="14" t="s">
        <v>46</v>
      </c>
      <c r="C58" s="14"/>
      <c r="D58" s="14"/>
      <c r="E58" s="14"/>
      <c r="F58" s="68">
        <f>7.5/1000</f>
        <v>7.4999999999999997E-3</v>
      </c>
      <c r="G58" s="69" t="s">
        <v>47</v>
      </c>
      <c r="H58" s="67" t="s">
        <v>48</v>
      </c>
      <c r="V58" s="14"/>
      <c r="W58" s="14"/>
      <c r="X58" s="14"/>
      <c r="Y58" s="14"/>
    </row>
    <row r="59" spans="1:35" ht="12.75" customHeight="1" outlineLevel="1" x14ac:dyDescent="0.2">
      <c r="B59" s="14" t="s">
        <v>49</v>
      </c>
      <c r="C59" s="14"/>
      <c r="D59" s="14"/>
      <c r="E59" s="14"/>
      <c r="F59" s="68">
        <f>36.72/1000</f>
        <v>3.6719999999999996E-2</v>
      </c>
      <c r="G59" s="69" t="s">
        <v>47</v>
      </c>
      <c r="H59" s="67" t="s">
        <v>50</v>
      </c>
      <c r="M59" s="39">
        <v>67.680000000000007</v>
      </c>
      <c r="N59" s="39" t="s">
        <v>153</v>
      </c>
      <c r="V59" s="14"/>
      <c r="W59" s="14"/>
      <c r="X59" s="14"/>
      <c r="Y59" s="14"/>
    </row>
    <row r="60" spans="1:35" ht="12.75" customHeight="1" outlineLevel="1" x14ac:dyDescent="0.2">
      <c r="B60" s="14" t="s">
        <v>51</v>
      </c>
      <c r="C60" s="14"/>
      <c r="D60" s="14"/>
      <c r="E60" s="14"/>
      <c r="F60" s="68">
        <f>38.68/1000</f>
        <v>3.8679999999999999E-2</v>
      </c>
      <c r="G60" s="69" t="s">
        <v>47</v>
      </c>
      <c r="H60" s="67" t="s">
        <v>50</v>
      </c>
      <c r="M60" s="39">
        <v>69.97</v>
      </c>
      <c r="N60" s="39" t="s">
        <v>153</v>
      </c>
      <c r="W60" s="14"/>
      <c r="X60" s="14"/>
      <c r="Y60" s="14"/>
    </row>
    <row r="61" spans="1:35" ht="12.75" customHeight="1" outlineLevel="1" x14ac:dyDescent="0.2">
      <c r="B61" s="14" t="s">
        <v>52</v>
      </c>
      <c r="C61" s="14"/>
      <c r="D61" s="14"/>
      <c r="E61" s="14"/>
      <c r="F61" s="68">
        <f>34.66/1000</f>
        <v>3.4659999999999996E-2</v>
      </c>
      <c r="G61" s="69" t="s">
        <v>47</v>
      </c>
      <c r="H61" s="67" t="s">
        <v>50</v>
      </c>
      <c r="M61" s="39">
        <v>64.48</v>
      </c>
      <c r="N61" s="39" t="s">
        <v>153</v>
      </c>
      <c r="W61" s="14"/>
      <c r="X61" s="14"/>
      <c r="Y61" s="14"/>
    </row>
    <row r="62" spans="1:35" ht="12.75" customHeight="1" outlineLevel="1" x14ac:dyDescent="0.2">
      <c r="B62" s="14" t="s">
        <v>105</v>
      </c>
      <c r="C62" s="14"/>
      <c r="D62" s="14"/>
      <c r="E62" s="14"/>
      <c r="F62" s="68">
        <v>2.5309999999999999E-2</v>
      </c>
      <c r="G62" s="69" t="s">
        <v>47</v>
      </c>
      <c r="H62" s="264" t="s">
        <v>242</v>
      </c>
      <c r="M62" s="39">
        <v>60.84</v>
      </c>
      <c r="N62" s="39" t="s">
        <v>153</v>
      </c>
      <c r="W62" s="14"/>
      <c r="X62" s="14"/>
      <c r="Y62" s="14"/>
    </row>
    <row r="63" spans="1:35" ht="12.75" customHeight="1" outlineLevel="1" x14ac:dyDescent="0.2">
      <c r="B63" s="14" t="s">
        <v>53</v>
      </c>
      <c r="C63" s="14"/>
      <c r="D63" s="14"/>
      <c r="E63" s="14"/>
      <c r="F63" s="70">
        <v>0.27777777777779999</v>
      </c>
      <c r="G63" s="28" t="s">
        <v>54</v>
      </c>
      <c r="H63" s="67"/>
      <c r="O63" s="71"/>
      <c r="W63" s="14"/>
      <c r="X63" s="14"/>
      <c r="Y63" s="14"/>
    </row>
    <row r="64" spans="1:35" ht="12.75" customHeight="1" outlineLevel="1" x14ac:dyDescent="0.2">
      <c r="B64" s="14" t="s">
        <v>53</v>
      </c>
      <c r="C64" s="14"/>
      <c r="D64" s="14"/>
      <c r="E64" s="14"/>
      <c r="F64" s="68">
        <f>3600/1000000</f>
        <v>3.5999999999999999E-3</v>
      </c>
      <c r="G64" s="69" t="s">
        <v>55</v>
      </c>
      <c r="H64" s="67"/>
      <c r="W64" s="14"/>
      <c r="X64" s="14"/>
      <c r="Y64" s="14"/>
    </row>
    <row r="65" spans="2:25" ht="12.75" customHeight="1" outlineLevel="1" x14ac:dyDescent="0.2">
      <c r="B65" s="14" t="s">
        <v>53</v>
      </c>
      <c r="C65" s="14"/>
      <c r="D65" s="14"/>
      <c r="E65" s="14"/>
      <c r="F65" s="72">
        <v>1055.05585</v>
      </c>
      <c r="G65" s="69" t="s">
        <v>56</v>
      </c>
      <c r="H65" s="67"/>
      <c r="W65" s="14"/>
      <c r="X65" s="14"/>
      <c r="Y65" s="14"/>
    </row>
    <row r="66" spans="2:25" ht="12.75" customHeight="1" outlineLevel="1" x14ac:dyDescent="0.2">
      <c r="B66" s="14" t="s">
        <v>57</v>
      </c>
      <c r="C66" s="14"/>
      <c r="D66" s="14"/>
      <c r="E66" s="14"/>
      <c r="F66" s="68">
        <v>0.26417200000000002</v>
      </c>
      <c r="G66" s="69" t="s">
        <v>58</v>
      </c>
      <c r="H66" s="67"/>
      <c r="W66" s="14"/>
      <c r="X66" s="14"/>
      <c r="Y66" s="14"/>
    </row>
    <row r="67" spans="2:25" ht="12.75" customHeight="1" outlineLevel="1" x14ac:dyDescent="0.2">
      <c r="B67" s="15" t="s">
        <v>59</v>
      </c>
      <c r="C67" s="14"/>
      <c r="D67" s="14"/>
      <c r="E67" s="14"/>
      <c r="F67" s="68"/>
      <c r="G67" s="69"/>
      <c r="H67" s="67"/>
      <c r="W67" s="14"/>
      <c r="X67" s="14"/>
      <c r="Y67" s="14"/>
    </row>
    <row r="68" spans="2:25" x14ac:dyDescent="0.2">
      <c r="W68" s="14"/>
      <c r="X68" s="14"/>
      <c r="Y68" s="14"/>
    </row>
    <row r="69" spans="2:25" x14ac:dyDescent="0.2">
      <c r="W69" s="14"/>
      <c r="X69" s="14"/>
      <c r="Y69" s="14"/>
    </row>
    <row r="70" spans="2:25" ht="15.75" x14ac:dyDescent="0.25">
      <c r="B70" s="7" t="s">
        <v>60</v>
      </c>
      <c r="C70" s="7"/>
      <c r="D70" s="7"/>
      <c r="E70" s="7"/>
      <c r="F70" s="8" t="s">
        <v>5</v>
      </c>
      <c r="G70" s="61"/>
      <c r="H70" s="65"/>
      <c r="K70" s="65"/>
      <c r="S70" s="60"/>
      <c r="U70" s="60"/>
      <c r="W70" s="14"/>
      <c r="X70" s="14"/>
      <c r="Y70" s="14"/>
    </row>
    <row r="71" spans="2:25" outlineLevel="1" x14ac:dyDescent="0.2">
      <c r="B71" s="62" t="s">
        <v>6</v>
      </c>
      <c r="C71" s="62"/>
      <c r="D71" s="62"/>
      <c r="E71" s="62"/>
      <c r="F71" s="63" t="s">
        <v>40</v>
      </c>
      <c r="G71" s="64" t="s">
        <v>8</v>
      </c>
      <c r="H71" s="62" t="s">
        <v>9</v>
      </c>
      <c r="W71" s="14"/>
      <c r="X71" s="14"/>
      <c r="Y71" s="14"/>
    </row>
    <row r="72" spans="2:25" outlineLevel="1" x14ac:dyDescent="0.2">
      <c r="B72" s="14" t="s">
        <v>61</v>
      </c>
      <c r="C72" s="14"/>
      <c r="D72" s="14"/>
      <c r="E72" s="14"/>
      <c r="F72" s="68">
        <f>119500*F66*F65/1000000000</f>
        <v>3.3306587573740901E-2</v>
      </c>
      <c r="G72" s="69" t="s">
        <v>47</v>
      </c>
      <c r="H72" s="67" t="s">
        <v>62</v>
      </c>
    </row>
    <row r="73" spans="2:25" outlineLevel="1" x14ac:dyDescent="0.2">
      <c r="B73" s="14" t="s">
        <v>63</v>
      </c>
      <c r="C73" s="14"/>
      <c r="D73" s="14"/>
      <c r="E73" s="14"/>
      <c r="F73" s="68">
        <f>+(0.2*$F$72)+(0.8*$F$76)</f>
        <v>3.7605317514748181E-2</v>
      </c>
      <c r="G73" s="69" t="s">
        <v>47</v>
      </c>
      <c r="H73" s="67" t="s">
        <v>64</v>
      </c>
    </row>
    <row r="74" spans="2:25" outlineLevel="1" x14ac:dyDescent="0.2">
      <c r="B74" s="14" t="s">
        <v>65</v>
      </c>
      <c r="C74" s="14"/>
      <c r="D74" s="14"/>
      <c r="E74" s="14"/>
      <c r="F74" s="68">
        <f>+(0.05*$F$72)+(0.95*$F$76)</f>
        <v>3.8411329378687048E-2</v>
      </c>
      <c r="G74" s="69" t="s">
        <v>47</v>
      </c>
      <c r="H74" s="67" t="s">
        <v>64</v>
      </c>
    </row>
    <row r="75" spans="2:25" outlineLevel="1" x14ac:dyDescent="0.2">
      <c r="B75" s="14" t="s">
        <v>66</v>
      </c>
      <c r="C75" s="14"/>
      <c r="D75" s="14"/>
      <c r="E75" s="14"/>
      <c r="F75" s="68">
        <v>3.6101083032490974E-2</v>
      </c>
      <c r="G75" s="69" t="s">
        <v>67</v>
      </c>
      <c r="H75" s="67" t="s">
        <v>68</v>
      </c>
    </row>
    <row r="76" spans="2:25" outlineLevel="1" x14ac:dyDescent="0.2">
      <c r="B76" s="14" t="s">
        <v>69</v>
      </c>
      <c r="C76" s="14"/>
      <c r="D76" s="14"/>
      <c r="E76" s="14"/>
      <c r="F76" s="68">
        <f>+$F$60</f>
        <v>3.8679999999999999E-2</v>
      </c>
      <c r="G76" s="69" t="s">
        <v>47</v>
      </c>
      <c r="H76" s="38" t="s">
        <v>50</v>
      </c>
    </row>
    <row r="77" spans="2:25" outlineLevel="1" x14ac:dyDescent="0.2">
      <c r="B77" s="14" t="s">
        <v>70</v>
      </c>
      <c r="C77" s="14"/>
      <c r="D77" s="14"/>
      <c r="E77" s="14"/>
      <c r="F77" s="68">
        <f>+(0.1*$F$78)+(0.9*$F$79)</f>
        <v>3.3553999999999994E-2</v>
      </c>
      <c r="G77" s="69" t="s">
        <v>47</v>
      </c>
      <c r="H77" s="67" t="s">
        <v>64</v>
      </c>
    </row>
    <row r="78" spans="2:25" outlineLevel="1" x14ac:dyDescent="0.2">
      <c r="B78" s="14" t="s">
        <v>71</v>
      </c>
      <c r="C78" s="14"/>
      <c r="D78" s="14"/>
      <c r="E78" s="14"/>
      <c r="F78" s="68">
        <f>23.6/1000</f>
        <v>2.3600000000000003E-2</v>
      </c>
      <c r="G78" s="69" t="s">
        <v>47</v>
      </c>
      <c r="H78" s="67" t="s">
        <v>50</v>
      </c>
    </row>
    <row r="79" spans="2:25" outlineLevel="1" x14ac:dyDescent="0.2">
      <c r="B79" s="14" t="s">
        <v>72</v>
      </c>
      <c r="C79" s="14"/>
      <c r="D79" s="14"/>
      <c r="E79" s="14"/>
      <c r="F79" s="68">
        <f>+$F$61</f>
        <v>3.4659999999999996E-2</v>
      </c>
      <c r="G79" s="69" t="s">
        <v>47</v>
      </c>
      <c r="H79" s="67" t="s">
        <v>50</v>
      </c>
    </row>
    <row r="80" spans="2:25" outlineLevel="1" x14ac:dyDescent="0.2">
      <c r="B80" s="14" t="s">
        <v>73</v>
      </c>
      <c r="C80" s="14"/>
      <c r="D80" s="14"/>
      <c r="E80" s="14"/>
      <c r="F80" s="68">
        <f>25.53/1000</f>
        <v>2.5530000000000001E-2</v>
      </c>
      <c r="G80" s="69" t="s">
        <v>47</v>
      </c>
      <c r="H80" s="67" t="s">
        <v>50</v>
      </c>
    </row>
    <row r="83" spans="2:21" ht="15.75" x14ac:dyDescent="0.25">
      <c r="B83" s="7" t="s">
        <v>74</v>
      </c>
      <c r="C83" s="7"/>
      <c r="D83" s="7"/>
      <c r="E83" s="7"/>
      <c r="F83" s="8" t="s">
        <v>5</v>
      </c>
      <c r="G83" s="61"/>
      <c r="H83" s="65"/>
      <c r="I83" s="65"/>
      <c r="J83" s="65"/>
      <c r="K83" s="65"/>
      <c r="S83" s="60"/>
      <c r="U83" s="60"/>
    </row>
    <row r="84" spans="2:21" ht="12.75" customHeight="1" outlineLevel="1" x14ac:dyDescent="0.25">
      <c r="B84" s="74"/>
      <c r="C84" s="74"/>
      <c r="D84" s="74"/>
      <c r="E84" s="74"/>
    </row>
    <row r="85" spans="2:21" ht="12.75" customHeight="1" outlineLevel="1" x14ac:dyDescent="0.25">
      <c r="B85" s="39" t="s">
        <v>75</v>
      </c>
      <c r="C85" s="75"/>
      <c r="D85" s="76"/>
      <c r="E85" s="74"/>
    </row>
    <row r="86" spans="2:21" ht="12.75" customHeight="1" outlineLevel="1" x14ac:dyDescent="0.25">
      <c r="B86" s="77" t="s">
        <v>76</v>
      </c>
      <c r="C86" s="75"/>
      <c r="D86" s="78"/>
      <c r="E86" s="74"/>
      <c r="I86" s="79"/>
      <c r="J86" s="80"/>
    </row>
    <row r="87" spans="2:21" ht="12.75" customHeight="1" outlineLevel="1" x14ac:dyDescent="0.25">
      <c r="B87" s="74"/>
      <c r="C87" s="74"/>
      <c r="D87" s="74"/>
      <c r="E87" s="74"/>
    </row>
    <row r="88" spans="2:21" ht="12.75" customHeight="1" outlineLevel="2" x14ac:dyDescent="0.25">
      <c r="B88" s="81" t="s">
        <v>77</v>
      </c>
      <c r="C88" s="74"/>
      <c r="D88" s="74"/>
      <c r="E88" s="74"/>
    </row>
    <row r="89" spans="2:21" ht="12.75" customHeight="1" outlineLevel="2" x14ac:dyDescent="0.2">
      <c r="B89" s="81" t="s">
        <v>78</v>
      </c>
      <c r="C89" s="81"/>
      <c r="D89" s="81"/>
      <c r="E89" s="81"/>
    </row>
    <row r="90" spans="2:21" ht="12.75" customHeight="1" outlineLevel="2" x14ac:dyDescent="0.2">
      <c r="B90" s="15" t="s">
        <v>79</v>
      </c>
      <c r="C90" s="15"/>
      <c r="D90" s="15"/>
      <c r="E90" s="15"/>
    </row>
    <row r="91" spans="2:21" ht="12.75" customHeight="1" outlineLevel="2" x14ac:dyDescent="0.2">
      <c r="B91" s="15"/>
      <c r="C91" s="15"/>
      <c r="D91" s="15"/>
      <c r="E91" s="15"/>
    </row>
    <row r="92" spans="2:21" ht="12.75" customHeight="1" outlineLevel="2" x14ac:dyDescent="0.2">
      <c r="B92" s="15" t="s">
        <v>80</v>
      </c>
      <c r="D92" s="73" t="s">
        <v>81</v>
      </c>
      <c r="E92" s="82" t="s">
        <v>82</v>
      </c>
      <c r="F92" s="83">
        <v>1.516</v>
      </c>
      <c r="G92" s="82" t="s">
        <v>83</v>
      </c>
      <c r="H92" s="84" t="s">
        <v>84</v>
      </c>
    </row>
    <row r="93" spans="2:21" ht="12.75" customHeight="1" outlineLevel="2" x14ac:dyDescent="0.2">
      <c r="D93" s="73" t="s">
        <v>85</v>
      </c>
      <c r="E93" s="82" t="s">
        <v>86</v>
      </c>
      <c r="F93" s="83">
        <v>1.3666700000000001</v>
      </c>
      <c r="G93" s="82" t="s">
        <v>87</v>
      </c>
      <c r="H93" s="84" t="s">
        <v>88</v>
      </c>
      <c r="N93" s="85" t="s">
        <v>89</v>
      </c>
    </row>
    <row r="94" spans="2:21" ht="12.75" customHeight="1" outlineLevel="2" x14ac:dyDescent="0.2">
      <c r="D94" s="73" t="s">
        <v>85</v>
      </c>
      <c r="E94" s="82" t="s">
        <v>86</v>
      </c>
      <c r="F94" s="83">
        <v>1.462</v>
      </c>
      <c r="G94" s="82" t="s">
        <v>87</v>
      </c>
      <c r="H94" s="84" t="s">
        <v>84</v>
      </c>
      <c r="N94" s="85" t="s">
        <v>90</v>
      </c>
    </row>
    <row r="95" spans="2:21" ht="12.75" customHeight="1" outlineLevel="2" x14ac:dyDescent="0.25">
      <c r="B95" s="74"/>
      <c r="C95" s="74"/>
      <c r="D95" s="74"/>
      <c r="E95" s="74"/>
    </row>
    <row r="96" spans="2:21" outlineLevel="2" x14ac:dyDescent="0.2">
      <c r="B96" s="86" t="s">
        <v>91</v>
      </c>
      <c r="C96" s="86"/>
      <c r="D96" s="86"/>
      <c r="E96" s="86"/>
    </row>
    <row r="97" spans="2:21" outlineLevel="2" x14ac:dyDescent="0.2">
      <c r="B97" s="87" t="s">
        <v>92</v>
      </c>
      <c r="C97" s="87"/>
      <c r="D97" s="87"/>
      <c r="E97" s="87"/>
      <c r="F97" s="17" t="s">
        <v>6</v>
      </c>
      <c r="G97" s="24">
        <v>2006</v>
      </c>
      <c r="H97" s="24">
        <v>2007</v>
      </c>
      <c r="I97" s="24">
        <v>2008</v>
      </c>
      <c r="J97" s="24">
        <v>2009</v>
      </c>
      <c r="K97" s="24">
        <v>2010</v>
      </c>
      <c r="L97" s="24">
        <v>2011</v>
      </c>
      <c r="M97" s="24">
        <v>2012</v>
      </c>
      <c r="N97" s="24">
        <v>2013</v>
      </c>
      <c r="O97" s="24">
        <v>2014</v>
      </c>
      <c r="P97" s="24">
        <v>2015</v>
      </c>
      <c r="Q97" s="24">
        <v>2016</v>
      </c>
      <c r="R97" s="24">
        <v>2017</v>
      </c>
      <c r="S97" s="24">
        <v>2018</v>
      </c>
      <c r="T97" s="88">
        <v>2019</v>
      </c>
      <c r="U97" s="24">
        <v>2020</v>
      </c>
    </row>
    <row r="98" spans="2:21" outlineLevel="2" x14ac:dyDescent="0.2">
      <c r="B98" s="59" t="s">
        <v>93</v>
      </c>
      <c r="C98" s="59"/>
      <c r="D98" s="59"/>
      <c r="E98" s="59"/>
      <c r="F98" s="59" t="s">
        <v>71</v>
      </c>
      <c r="G98" s="89"/>
      <c r="H98" s="89"/>
      <c r="I98" s="89"/>
      <c r="J98" s="89"/>
      <c r="K98" s="89"/>
      <c r="L98" s="90">
        <f>+M98</f>
        <v>1.494</v>
      </c>
      <c r="M98" s="89">
        <v>1.494</v>
      </c>
      <c r="N98" s="89">
        <v>1.494</v>
      </c>
      <c r="O98" s="89">
        <v>1.494</v>
      </c>
      <c r="P98" s="89">
        <v>1.494</v>
      </c>
      <c r="Q98" s="89">
        <v>1.5089999999999999</v>
      </c>
      <c r="R98" s="89">
        <f>+Q98</f>
        <v>1.5089999999999999</v>
      </c>
      <c r="S98" s="89">
        <f>+R98</f>
        <v>1.5089999999999999</v>
      </c>
      <c r="T98" s="89">
        <f>+S98</f>
        <v>1.5089999999999999</v>
      </c>
      <c r="U98" s="89"/>
    </row>
    <row r="99" spans="2:21" outlineLevel="2" x14ac:dyDescent="0.2">
      <c r="B99" s="59" t="s">
        <v>93</v>
      </c>
      <c r="C99" s="59"/>
      <c r="D99" s="59"/>
      <c r="E99" s="59"/>
      <c r="F99" s="59" t="s">
        <v>61</v>
      </c>
      <c r="G99" s="89"/>
      <c r="H99" s="89"/>
      <c r="I99" s="89"/>
      <c r="J99" s="89"/>
      <c r="K99" s="89"/>
      <c r="L99" s="90">
        <f t="shared" ref="L99:L111" si="8">+M99</f>
        <v>2.4489999999999998</v>
      </c>
      <c r="M99" s="89">
        <v>2.4489999999999998</v>
      </c>
      <c r="N99" s="89">
        <v>2.4489999999999998</v>
      </c>
      <c r="O99" s="89">
        <v>2.4489999999999998</v>
      </c>
      <c r="P99" s="89">
        <v>2.4489999999999998</v>
      </c>
      <c r="Q99" s="89">
        <v>2.4740000000000002</v>
      </c>
      <c r="R99" s="89">
        <f t="shared" ref="R99:T111" si="9">+Q99</f>
        <v>2.4740000000000002</v>
      </c>
      <c r="S99" s="89">
        <f t="shared" si="9"/>
        <v>2.4740000000000002</v>
      </c>
      <c r="T99" s="89">
        <f t="shared" si="9"/>
        <v>2.4740000000000002</v>
      </c>
      <c r="U99" s="89"/>
    </row>
    <row r="100" spans="2:21" outlineLevel="2" x14ac:dyDescent="0.2">
      <c r="B100" s="91" t="s">
        <v>93</v>
      </c>
      <c r="C100" s="91"/>
      <c r="D100" s="91"/>
      <c r="E100" s="91"/>
      <c r="F100" s="91" t="s">
        <v>94</v>
      </c>
      <c r="G100" s="92"/>
      <c r="H100" s="92"/>
      <c r="I100" s="92"/>
      <c r="J100" s="92"/>
      <c r="K100" s="92"/>
      <c r="L100" s="93">
        <f t="shared" si="8"/>
        <v>2.4489999999999998</v>
      </c>
      <c r="M100" s="92">
        <v>2.4489999999999998</v>
      </c>
      <c r="N100" s="92">
        <v>2.4489999999999998</v>
      </c>
      <c r="O100" s="92">
        <v>2.4489999999999998</v>
      </c>
      <c r="P100" s="92">
        <v>2.4489999999999998</v>
      </c>
      <c r="Q100" s="92">
        <v>2.4740000000000002</v>
      </c>
      <c r="R100" s="92">
        <f t="shared" si="9"/>
        <v>2.4740000000000002</v>
      </c>
      <c r="S100" s="92">
        <f t="shared" si="9"/>
        <v>2.4740000000000002</v>
      </c>
      <c r="T100" s="92">
        <f t="shared" si="9"/>
        <v>2.4740000000000002</v>
      </c>
      <c r="U100" s="92"/>
    </row>
    <row r="101" spans="2:21" outlineLevel="2" x14ac:dyDescent="0.2">
      <c r="B101" s="82" t="s">
        <v>95</v>
      </c>
      <c r="C101" s="82"/>
      <c r="D101" s="82"/>
      <c r="E101" s="82"/>
      <c r="F101" s="94" t="s">
        <v>52</v>
      </c>
      <c r="G101" s="95"/>
      <c r="H101" s="95"/>
      <c r="I101" s="95"/>
      <c r="J101" s="95"/>
      <c r="K101" s="95"/>
      <c r="L101" s="96">
        <f t="shared" si="8"/>
        <v>7.4700000000000003E-2</v>
      </c>
      <c r="M101" s="95">
        <v>7.4700000000000003E-2</v>
      </c>
      <c r="N101" s="95">
        <v>7.4700000000000003E-2</v>
      </c>
      <c r="O101" s="95">
        <v>7.4700000000000003E-2</v>
      </c>
      <c r="P101" s="95">
        <v>7.4700000000000003E-2</v>
      </c>
      <c r="Q101" s="95">
        <v>7.5499999999999998E-2</v>
      </c>
      <c r="R101" s="95">
        <f t="shared" si="9"/>
        <v>7.5499999999999998E-2</v>
      </c>
      <c r="S101" s="95">
        <f t="shared" si="9"/>
        <v>7.5499999999999998E-2</v>
      </c>
      <c r="T101" s="95">
        <f t="shared" si="9"/>
        <v>7.5499999999999998E-2</v>
      </c>
      <c r="U101" s="95"/>
    </row>
    <row r="102" spans="2:21" outlineLevel="2" x14ac:dyDescent="0.2">
      <c r="B102" s="39" t="s">
        <v>95</v>
      </c>
      <c r="F102" s="82" t="s">
        <v>51</v>
      </c>
      <c r="G102" s="97"/>
      <c r="H102" s="97"/>
      <c r="I102" s="97"/>
      <c r="J102" s="97"/>
      <c r="K102" s="97"/>
      <c r="L102" s="98">
        <f t="shared" si="8"/>
        <v>9.8000000000000004E-2</v>
      </c>
      <c r="M102" s="97">
        <v>9.8000000000000004E-2</v>
      </c>
      <c r="N102" s="97">
        <v>9.8000000000000004E-2</v>
      </c>
      <c r="O102" s="97">
        <v>9.8000000000000004E-2</v>
      </c>
      <c r="P102" s="97">
        <v>9.8000000000000004E-2</v>
      </c>
      <c r="Q102" s="97">
        <v>9.9000000000000005E-2</v>
      </c>
      <c r="R102" s="97">
        <f t="shared" si="9"/>
        <v>9.9000000000000005E-2</v>
      </c>
      <c r="S102" s="97">
        <f t="shared" si="9"/>
        <v>9.9000000000000005E-2</v>
      </c>
      <c r="T102" s="97">
        <f t="shared" si="9"/>
        <v>9.9000000000000005E-2</v>
      </c>
      <c r="U102" s="97"/>
    </row>
    <row r="103" spans="2:21" outlineLevel="2" x14ac:dyDescent="0.2">
      <c r="B103" s="59" t="s">
        <v>96</v>
      </c>
      <c r="C103" s="59"/>
      <c r="D103" s="59"/>
      <c r="E103" s="59"/>
      <c r="F103" s="59" t="s">
        <v>52</v>
      </c>
      <c r="G103" s="89"/>
      <c r="H103" s="89"/>
      <c r="I103" s="89"/>
      <c r="J103" s="89"/>
      <c r="K103" s="89"/>
      <c r="L103" s="90">
        <f t="shared" si="8"/>
        <v>7.4700000000000003E-2</v>
      </c>
      <c r="M103" s="89">
        <v>7.4700000000000003E-2</v>
      </c>
      <c r="N103" s="89">
        <v>7.4700000000000003E-2</v>
      </c>
      <c r="O103" s="89">
        <v>7.4700000000000003E-2</v>
      </c>
      <c r="P103" s="89">
        <v>7.4700000000000003E-2</v>
      </c>
      <c r="Q103" s="89">
        <v>7.5499999999999998E-2</v>
      </c>
      <c r="R103" s="89">
        <f t="shared" si="9"/>
        <v>7.5499999999999998E-2</v>
      </c>
      <c r="S103" s="89">
        <f t="shared" si="9"/>
        <v>7.5499999999999998E-2</v>
      </c>
      <c r="T103" s="89">
        <f t="shared" si="9"/>
        <v>7.5499999999999998E-2</v>
      </c>
      <c r="U103" s="89"/>
    </row>
    <row r="104" spans="2:21" outlineLevel="2" x14ac:dyDescent="0.2">
      <c r="B104" s="59" t="s">
        <v>96</v>
      </c>
      <c r="C104" s="59"/>
      <c r="D104" s="59"/>
      <c r="E104" s="59"/>
      <c r="F104" s="59" t="s">
        <v>51</v>
      </c>
      <c r="G104" s="89"/>
      <c r="H104" s="89"/>
      <c r="I104" s="89"/>
      <c r="J104" s="89"/>
      <c r="K104" s="89"/>
      <c r="L104" s="90">
        <f t="shared" si="8"/>
        <v>9.8000000000000004E-2</v>
      </c>
      <c r="M104" s="89">
        <v>9.8000000000000004E-2</v>
      </c>
      <c r="N104" s="89">
        <v>9.8000000000000004E-2</v>
      </c>
      <c r="O104" s="89">
        <v>9.8000000000000004E-2</v>
      </c>
      <c r="P104" s="89">
        <v>9.8000000000000004E-2</v>
      </c>
      <c r="Q104" s="89">
        <v>9.9000000000000005E-2</v>
      </c>
      <c r="R104" s="89">
        <f t="shared" si="9"/>
        <v>9.9000000000000005E-2</v>
      </c>
      <c r="S104" s="89">
        <f t="shared" si="9"/>
        <v>9.9000000000000005E-2</v>
      </c>
      <c r="T104" s="89">
        <f t="shared" si="9"/>
        <v>9.9000000000000005E-2</v>
      </c>
      <c r="U104" s="89"/>
    </row>
    <row r="105" spans="2:21" outlineLevel="2" x14ac:dyDescent="0.2">
      <c r="B105" s="39" t="s">
        <v>97</v>
      </c>
      <c r="F105" s="94" t="s">
        <v>52</v>
      </c>
      <c r="G105" s="95"/>
      <c r="H105" s="95"/>
      <c r="I105" s="95"/>
      <c r="J105" s="95"/>
      <c r="K105" s="95"/>
      <c r="L105" s="96">
        <f t="shared" si="8"/>
        <v>7.4700000000000003E-2</v>
      </c>
      <c r="M105" s="95">
        <v>7.4700000000000003E-2</v>
      </c>
      <c r="N105" s="95">
        <v>7.4700000000000003E-2</v>
      </c>
      <c r="O105" s="95">
        <v>7.4700000000000003E-2</v>
      </c>
      <c r="P105" s="95">
        <v>7.4700000000000003E-2</v>
      </c>
      <c r="Q105" s="95">
        <v>7.5499999999999998E-2</v>
      </c>
      <c r="R105" s="95">
        <f t="shared" si="9"/>
        <v>7.5499999999999998E-2</v>
      </c>
      <c r="S105" s="95">
        <f t="shared" si="9"/>
        <v>7.5499999999999998E-2</v>
      </c>
      <c r="T105" s="95">
        <f t="shared" si="9"/>
        <v>7.5499999999999998E-2</v>
      </c>
      <c r="U105" s="95"/>
    </row>
    <row r="106" spans="2:21" outlineLevel="2" x14ac:dyDescent="0.2">
      <c r="B106" s="39" t="s">
        <v>97</v>
      </c>
      <c r="F106" s="82" t="s">
        <v>51</v>
      </c>
      <c r="G106" s="97"/>
      <c r="H106" s="97"/>
      <c r="I106" s="97"/>
      <c r="J106" s="97"/>
      <c r="K106" s="97"/>
      <c r="L106" s="98">
        <f t="shared" si="8"/>
        <v>9.8000000000000004E-2</v>
      </c>
      <c r="M106" s="97">
        <v>9.8000000000000004E-2</v>
      </c>
      <c r="N106" s="97">
        <v>9.8000000000000004E-2</v>
      </c>
      <c r="O106" s="97">
        <v>9.8000000000000004E-2</v>
      </c>
      <c r="P106" s="97">
        <v>9.8000000000000004E-2</v>
      </c>
      <c r="Q106" s="97">
        <v>9.9000000000000005E-2</v>
      </c>
      <c r="R106" s="97">
        <f t="shared" si="9"/>
        <v>9.9000000000000005E-2</v>
      </c>
      <c r="S106" s="97">
        <f t="shared" si="9"/>
        <v>9.9000000000000005E-2</v>
      </c>
      <c r="T106" s="97">
        <f t="shared" si="9"/>
        <v>9.9000000000000005E-2</v>
      </c>
      <c r="U106" s="97"/>
    </row>
    <row r="107" spans="2:21" outlineLevel="2" x14ac:dyDescent="0.2">
      <c r="B107" s="59" t="s">
        <v>98</v>
      </c>
      <c r="C107" s="59"/>
      <c r="D107" s="59"/>
      <c r="E107" s="59"/>
      <c r="F107" s="59" t="s">
        <v>52</v>
      </c>
      <c r="G107" s="89"/>
      <c r="H107" s="89"/>
      <c r="I107" s="89"/>
      <c r="J107" s="89"/>
      <c r="K107" s="89"/>
      <c r="L107" s="90">
        <f t="shared" si="8"/>
        <v>7.4700000000000003E-2</v>
      </c>
      <c r="M107" s="89">
        <v>7.4700000000000003E-2</v>
      </c>
      <c r="N107" s="89">
        <v>7.4700000000000003E-2</v>
      </c>
      <c r="O107" s="89">
        <v>7.4700000000000003E-2</v>
      </c>
      <c r="P107" s="89">
        <v>7.4700000000000003E-2</v>
      </c>
      <c r="Q107" s="89">
        <v>7.5499999999999998E-2</v>
      </c>
      <c r="R107" s="89">
        <f t="shared" si="9"/>
        <v>7.5499999999999998E-2</v>
      </c>
      <c r="S107" s="89">
        <f t="shared" si="9"/>
        <v>7.5499999999999998E-2</v>
      </c>
      <c r="T107" s="89">
        <f t="shared" si="9"/>
        <v>7.5499999999999998E-2</v>
      </c>
      <c r="U107" s="89"/>
    </row>
    <row r="108" spans="2:21" outlineLevel="2" x14ac:dyDescent="0.2">
      <c r="B108" s="14" t="s">
        <v>99</v>
      </c>
      <c r="C108" s="14"/>
      <c r="D108" s="14"/>
      <c r="E108" s="14"/>
      <c r="F108" s="94" t="s">
        <v>52</v>
      </c>
      <c r="G108" s="95"/>
      <c r="H108" s="95"/>
      <c r="I108" s="95"/>
      <c r="J108" s="95"/>
      <c r="K108" s="95"/>
      <c r="L108" s="96">
        <f t="shared" si="8"/>
        <v>7.4700000000000003E-2</v>
      </c>
      <c r="M108" s="95">
        <v>7.4700000000000003E-2</v>
      </c>
      <c r="N108" s="95">
        <v>7.4700000000000003E-2</v>
      </c>
      <c r="O108" s="95">
        <v>7.4700000000000003E-2</v>
      </c>
      <c r="P108" s="95">
        <v>7.4700000000000003E-2</v>
      </c>
      <c r="Q108" s="95">
        <v>7.5499999999999998E-2</v>
      </c>
      <c r="R108" s="95">
        <f t="shared" si="9"/>
        <v>7.5499999999999998E-2</v>
      </c>
      <c r="S108" s="95">
        <f t="shared" si="9"/>
        <v>7.5499999999999998E-2</v>
      </c>
      <c r="T108" s="95">
        <f t="shared" si="9"/>
        <v>7.5499999999999998E-2</v>
      </c>
      <c r="U108" s="95"/>
    </row>
    <row r="109" spans="2:21" outlineLevel="2" x14ac:dyDescent="0.2">
      <c r="B109" s="14" t="s">
        <v>99</v>
      </c>
      <c r="C109" s="14"/>
      <c r="D109" s="14"/>
      <c r="E109" s="14"/>
      <c r="F109" s="82" t="s">
        <v>51</v>
      </c>
      <c r="G109" s="97"/>
      <c r="H109" s="97"/>
      <c r="I109" s="97"/>
      <c r="J109" s="97"/>
      <c r="K109" s="97"/>
      <c r="L109" s="98">
        <f t="shared" si="8"/>
        <v>9.8000000000000004E-2</v>
      </c>
      <c r="M109" s="97">
        <v>9.8000000000000004E-2</v>
      </c>
      <c r="N109" s="97">
        <v>9.8000000000000004E-2</v>
      </c>
      <c r="O109" s="97">
        <v>9.8000000000000004E-2</v>
      </c>
      <c r="P109" s="97">
        <v>9.8000000000000004E-2</v>
      </c>
      <c r="Q109" s="97">
        <v>9.9000000000000005E-2</v>
      </c>
      <c r="R109" s="97">
        <f t="shared" si="9"/>
        <v>9.9000000000000005E-2</v>
      </c>
      <c r="S109" s="97">
        <f t="shared" si="9"/>
        <v>9.9000000000000005E-2</v>
      </c>
      <c r="T109" s="97">
        <f t="shared" si="9"/>
        <v>9.9000000000000005E-2</v>
      </c>
      <c r="U109" s="97"/>
    </row>
    <row r="110" spans="2:21" outlineLevel="2" x14ac:dyDescent="0.2">
      <c r="B110" s="59" t="s">
        <v>100</v>
      </c>
      <c r="C110" s="59"/>
      <c r="D110" s="59"/>
      <c r="E110" s="59"/>
      <c r="F110" s="59" t="s">
        <v>52</v>
      </c>
      <c r="G110" s="89"/>
      <c r="H110" s="89"/>
      <c r="I110" s="89"/>
      <c r="J110" s="89"/>
      <c r="K110" s="89"/>
      <c r="L110" s="90">
        <f t="shared" si="8"/>
        <v>7.4700000000000003E-2</v>
      </c>
      <c r="M110" s="89">
        <v>7.4700000000000003E-2</v>
      </c>
      <c r="N110" s="89">
        <v>7.4700000000000003E-2</v>
      </c>
      <c r="O110" s="89">
        <v>7.4700000000000003E-2</v>
      </c>
      <c r="P110" s="89">
        <v>7.4700000000000003E-2</v>
      </c>
      <c r="Q110" s="89">
        <v>7.5499999999999998E-2</v>
      </c>
      <c r="R110" s="89">
        <f t="shared" si="9"/>
        <v>7.5499999999999998E-2</v>
      </c>
      <c r="S110" s="89">
        <f t="shared" si="9"/>
        <v>7.5499999999999998E-2</v>
      </c>
      <c r="T110" s="89">
        <f t="shared" si="9"/>
        <v>7.5499999999999998E-2</v>
      </c>
      <c r="U110" s="89"/>
    </row>
    <row r="111" spans="2:21" outlineLevel="2" x14ac:dyDescent="0.2">
      <c r="B111" s="59" t="s">
        <v>100</v>
      </c>
      <c r="C111" s="59"/>
      <c r="D111" s="59"/>
      <c r="E111" s="59"/>
      <c r="F111" s="59" t="s">
        <v>51</v>
      </c>
      <c r="G111" s="89"/>
      <c r="H111" s="89"/>
      <c r="I111" s="89"/>
      <c r="J111" s="89"/>
      <c r="K111" s="89"/>
      <c r="L111" s="90">
        <f t="shared" si="8"/>
        <v>9.8000000000000004E-2</v>
      </c>
      <c r="M111" s="89">
        <v>9.8000000000000004E-2</v>
      </c>
      <c r="N111" s="89">
        <v>9.8000000000000004E-2</v>
      </c>
      <c r="O111" s="89">
        <v>9.8000000000000004E-2</v>
      </c>
      <c r="P111" s="89">
        <v>9.8000000000000004E-2</v>
      </c>
      <c r="Q111" s="89">
        <v>9.9000000000000005E-2</v>
      </c>
      <c r="R111" s="89">
        <f t="shared" si="9"/>
        <v>9.9000000000000005E-2</v>
      </c>
      <c r="S111" s="89">
        <f t="shared" si="9"/>
        <v>9.9000000000000005E-2</v>
      </c>
      <c r="T111" s="89">
        <f t="shared" si="9"/>
        <v>9.9000000000000005E-2</v>
      </c>
      <c r="U111" s="89"/>
    </row>
    <row r="112" spans="2:21" outlineLevel="2" x14ac:dyDescent="0.2">
      <c r="B112" s="86"/>
      <c r="C112" s="86"/>
      <c r="D112" s="86"/>
      <c r="E112" s="86"/>
    </row>
    <row r="113" spans="2:24" outlineLevel="2" x14ac:dyDescent="0.2">
      <c r="B113" s="86" t="s">
        <v>19</v>
      </c>
      <c r="C113" s="86"/>
      <c r="D113" s="86"/>
      <c r="E113" s="86"/>
    </row>
    <row r="114" spans="2:24" outlineLevel="2" x14ac:dyDescent="0.2">
      <c r="B114" s="87" t="s">
        <v>92</v>
      </c>
      <c r="C114" s="87"/>
      <c r="D114" s="87"/>
      <c r="E114" s="87"/>
      <c r="F114" s="17" t="s">
        <v>6</v>
      </c>
      <c r="G114" s="24">
        <v>2006</v>
      </c>
      <c r="H114" s="24">
        <v>2007</v>
      </c>
      <c r="I114" s="24">
        <v>2008</v>
      </c>
      <c r="J114" s="24">
        <v>2009</v>
      </c>
      <c r="K114" s="24">
        <v>2010</v>
      </c>
      <c r="L114" s="24">
        <v>2011</v>
      </c>
      <c r="M114" s="24">
        <v>2012</v>
      </c>
      <c r="N114" s="24">
        <v>2013</v>
      </c>
      <c r="O114" s="24">
        <v>2014</v>
      </c>
      <c r="P114" s="24">
        <v>2015</v>
      </c>
      <c r="Q114" s="24">
        <v>2016</v>
      </c>
      <c r="R114" s="24">
        <v>2017</v>
      </c>
      <c r="S114" s="24">
        <v>2018</v>
      </c>
      <c r="T114" s="24">
        <v>2019</v>
      </c>
      <c r="U114" s="24">
        <v>2020</v>
      </c>
    </row>
    <row r="115" spans="2:24" outlineLevel="2" x14ac:dyDescent="0.2">
      <c r="B115" s="59" t="s">
        <v>93</v>
      </c>
      <c r="C115" s="59" t="s">
        <v>101</v>
      </c>
      <c r="D115" s="59"/>
      <c r="E115" s="59"/>
      <c r="F115" s="59" t="s">
        <v>102</v>
      </c>
      <c r="G115" s="99">
        <f t="shared" ref="G115:U115" si="10">+G117/0.95</f>
        <v>0</v>
      </c>
      <c r="H115" s="99">
        <f t="shared" si="10"/>
        <v>0</v>
      </c>
      <c r="I115" s="99">
        <f t="shared" si="10"/>
        <v>0</v>
      </c>
      <c r="J115" s="99">
        <f t="shared" si="10"/>
        <v>0</v>
      </c>
      <c r="K115" s="99">
        <f t="shared" si="10"/>
        <v>0</v>
      </c>
      <c r="L115" s="99">
        <f t="shared" si="10"/>
        <v>2.2894736842105261</v>
      </c>
      <c r="M115" s="99">
        <f t="shared" si="10"/>
        <v>2.2894736842105261</v>
      </c>
      <c r="N115" s="99">
        <f t="shared" si="10"/>
        <v>2.2894736842105261</v>
      </c>
      <c r="O115" s="99">
        <f t="shared" si="10"/>
        <v>2.2894736842105261</v>
      </c>
      <c r="P115" s="99">
        <f t="shared" si="10"/>
        <v>2.2894736842105261</v>
      </c>
      <c r="Q115" s="99">
        <f t="shared" si="10"/>
        <v>2.3157894736842106</v>
      </c>
      <c r="R115" s="99">
        <f t="shared" si="10"/>
        <v>2.3157894736842106</v>
      </c>
      <c r="S115" s="99">
        <f t="shared" si="10"/>
        <v>2.3157894736842106</v>
      </c>
      <c r="T115" s="99">
        <f t="shared" si="10"/>
        <v>2.3157894736842106</v>
      </c>
      <c r="U115" s="99">
        <f t="shared" si="10"/>
        <v>0</v>
      </c>
    </row>
    <row r="116" spans="2:24" outlineLevel="2" x14ac:dyDescent="0.2">
      <c r="B116" s="59" t="s">
        <v>93</v>
      </c>
      <c r="C116" s="59" t="s">
        <v>103</v>
      </c>
      <c r="D116" s="59"/>
      <c r="E116" s="59"/>
      <c r="F116" s="59" t="s">
        <v>104</v>
      </c>
      <c r="G116" s="99">
        <f t="shared" ref="G116:U116" si="11">+G118/0.96</f>
        <v>0</v>
      </c>
      <c r="H116" s="99">
        <f t="shared" si="11"/>
        <v>0</v>
      </c>
      <c r="I116" s="99">
        <f t="shared" si="11"/>
        <v>0</v>
      </c>
      <c r="J116" s="99">
        <f t="shared" si="11"/>
        <v>0</v>
      </c>
      <c r="K116" s="99">
        <f t="shared" si="11"/>
        <v>0</v>
      </c>
      <c r="L116" s="99">
        <f t="shared" si="11"/>
        <v>2.6625000000000001</v>
      </c>
      <c r="M116" s="99">
        <f t="shared" si="11"/>
        <v>2.6625000000000001</v>
      </c>
      <c r="N116" s="99">
        <f t="shared" si="11"/>
        <v>2.6625000000000001</v>
      </c>
      <c r="O116" s="99">
        <f t="shared" si="11"/>
        <v>2.6625000000000001</v>
      </c>
      <c r="P116" s="99">
        <f t="shared" si="11"/>
        <v>2.6625000000000001</v>
      </c>
      <c r="Q116" s="99">
        <f t="shared" si="11"/>
        <v>2.6895833333333332</v>
      </c>
      <c r="R116" s="99">
        <f t="shared" si="11"/>
        <v>2.6895833333333332</v>
      </c>
      <c r="S116" s="99">
        <f t="shared" si="11"/>
        <v>2.6895833333333332</v>
      </c>
      <c r="T116" s="99">
        <f t="shared" si="11"/>
        <v>2.6895833333333332</v>
      </c>
      <c r="U116" s="99">
        <f t="shared" si="11"/>
        <v>0</v>
      </c>
    </row>
    <row r="117" spans="2:24" outlineLevel="2" x14ac:dyDescent="0.2">
      <c r="B117" s="82" t="s">
        <v>95</v>
      </c>
      <c r="C117" s="82"/>
      <c r="D117" s="82"/>
      <c r="E117" s="82"/>
      <c r="F117" s="94" t="s">
        <v>52</v>
      </c>
      <c r="G117" s="100"/>
      <c r="H117" s="100"/>
      <c r="I117" s="100"/>
      <c r="J117" s="100"/>
      <c r="K117" s="100"/>
      <c r="L117" s="101">
        <f t="shared" ref="L117:L137" si="12">+M117</f>
        <v>2.1749999999999998</v>
      </c>
      <c r="M117" s="100">
        <v>2.1749999999999998</v>
      </c>
      <c r="N117" s="100">
        <v>2.1749999999999998</v>
      </c>
      <c r="O117" s="100">
        <v>2.1749999999999998</v>
      </c>
      <c r="P117" s="100">
        <v>2.1749999999999998</v>
      </c>
      <c r="Q117" s="100">
        <v>2.2000000000000002</v>
      </c>
      <c r="R117" s="100">
        <f t="shared" ref="R117:T137" si="13">+Q117</f>
        <v>2.2000000000000002</v>
      </c>
      <c r="S117" s="100">
        <f t="shared" si="13"/>
        <v>2.2000000000000002</v>
      </c>
      <c r="T117" s="100">
        <f t="shared" si="13"/>
        <v>2.2000000000000002</v>
      </c>
      <c r="U117" s="100"/>
    </row>
    <row r="118" spans="2:24" outlineLevel="2" x14ac:dyDescent="0.2">
      <c r="B118" s="39" t="s">
        <v>95</v>
      </c>
      <c r="F118" s="82" t="s">
        <v>51</v>
      </c>
      <c r="G118" s="102"/>
      <c r="H118" s="102"/>
      <c r="I118" s="102"/>
      <c r="J118" s="102"/>
      <c r="K118" s="102"/>
      <c r="L118" s="103">
        <f t="shared" si="12"/>
        <v>2.556</v>
      </c>
      <c r="M118" s="102">
        <v>2.556</v>
      </c>
      <c r="N118" s="102">
        <v>2.556</v>
      </c>
      <c r="O118" s="102">
        <v>2.556</v>
      </c>
      <c r="P118" s="102">
        <v>2.556</v>
      </c>
      <c r="Q118" s="102">
        <v>2.5819999999999999</v>
      </c>
      <c r="R118" s="102">
        <f t="shared" si="13"/>
        <v>2.5819999999999999</v>
      </c>
      <c r="S118" s="102">
        <f t="shared" si="13"/>
        <v>2.5819999999999999</v>
      </c>
      <c r="T118" s="102">
        <f t="shared" si="13"/>
        <v>2.5819999999999999</v>
      </c>
      <c r="U118" s="102"/>
    </row>
    <row r="119" spans="2:24" outlineLevel="2" x14ac:dyDescent="0.2">
      <c r="B119" s="39" t="s">
        <v>95</v>
      </c>
      <c r="F119" s="82" t="s">
        <v>105</v>
      </c>
      <c r="G119" s="102"/>
      <c r="H119" s="102"/>
      <c r="I119" s="102"/>
      <c r="J119" s="102"/>
      <c r="K119" s="102"/>
      <c r="L119" s="103">
        <f t="shared" si="12"/>
        <v>1.51</v>
      </c>
      <c r="M119" s="102">
        <v>1.51</v>
      </c>
      <c r="N119" s="102">
        <v>1.51</v>
      </c>
      <c r="O119" s="102">
        <v>1.5069999999999999</v>
      </c>
      <c r="P119" s="102">
        <v>1.5069999999999999</v>
      </c>
      <c r="Q119" s="102">
        <v>1.5149999999999999</v>
      </c>
      <c r="R119" s="102">
        <f t="shared" si="13"/>
        <v>1.5149999999999999</v>
      </c>
      <c r="S119" s="102">
        <f t="shared" si="13"/>
        <v>1.5149999999999999</v>
      </c>
      <c r="T119" s="102">
        <f t="shared" si="13"/>
        <v>1.5149999999999999</v>
      </c>
      <c r="U119" s="102"/>
    </row>
    <row r="120" spans="2:24" outlineLevel="2" x14ac:dyDescent="0.2">
      <c r="B120" s="39" t="s">
        <v>95</v>
      </c>
      <c r="F120" s="82" t="s">
        <v>106</v>
      </c>
      <c r="G120" s="102"/>
      <c r="H120" s="102"/>
      <c r="I120" s="102"/>
      <c r="J120" s="102"/>
      <c r="K120" s="102"/>
      <c r="L120" s="103">
        <f t="shared" si="12"/>
        <v>2.7229999999999999</v>
      </c>
      <c r="M120" s="102">
        <v>2.7229999999999999</v>
      </c>
      <c r="N120" s="102">
        <v>2.7229999999999999</v>
      </c>
      <c r="O120" s="102">
        <v>2.7229999999999999</v>
      </c>
      <c r="P120" s="102">
        <v>2.7229999999999999</v>
      </c>
      <c r="Q120" s="102">
        <v>2.738</v>
      </c>
      <c r="R120" s="102">
        <f t="shared" si="13"/>
        <v>2.738</v>
      </c>
      <c r="S120" s="102">
        <f t="shared" si="13"/>
        <v>2.738</v>
      </c>
      <c r="T120" s="102">
        <f t="shared" si="13"/>
        <v>2.738</v>
      </c>
      <c r="U120" s="102"/>
    </row>
    <row r="121" spans="2:24" outlineLevel="2" x14ac:dyDescent="0.2">
      <c r="B121" s="59" t="s">
        <v>96</v>
      </c>
      <c r="C121" s="59"/>
      <c r="D121" s="59"/>
      <c r="E121" s="59"/>
      <c r="F121" s="59" t="s">
        <v>52</v>
      </c>
      <c r="G121" s="104"/>
      <c r="H121" s="104"/>
      <c r="I121" s="104"/>
      <c r="J121" s="104"/>
      <c r="K121" s="104"/>
      <c r="L121" s="105">
        <f t="shared" si="12"/>
        <v>2.1749999999999998</v>
      </c>
      <c r="M121" s="104">
        <v>2.1749999999999998</v>
      </c>
      <c r="N121" s="104">
        <v>2.1749999999999998</v>
      </c>
      <c r="O121" s="104">
        <v>2.1749999999999998</v>
      </c>
      <c r="P121" s="104">
        <v>2.1749999999999998</v>
      </c>
      <c r="Q121" s="104">
        <v>2.2000000000000002</v>
      </c>
      <c r="R121" s="104">
        <f t="shared" si="13"/>
        <v>2.2000000000000002</v>
      </c>
      <c r="S121" s="104">
        <f t="shared" si="13"/>
        <v>2.2000000000000002</v>
      </c>
      <c r="T121" s="104">
        <f t="shared" si="13"/>
        <v>2.2000000000000002</v>
      </c>
      <c r="U121" s="104"/>
    </row>
    <row r="122" spans="2:24" outlineLevel="2" x14ac:dyDescent="0.2">
      <c r="B122" s="59" t="s">
        <v>96</v>
      </c>
      <c r="C122" s="59"/>
      <c r="D122" s="59"/>
      <c r="E122" s="59"/>
      <c r="F122" s="59" t="s">
        <v>51</v>
      </c>
      <c r="G122" s="104"/>
      <c r="H122" s="104"/>
      <c r="I122" s="104"/>
      <c r="J122" s="104"/>
      <c r="K122" s="104"/>
      <c r="L122" s="105">
        <f t="shared" si="12"/>
        <v>2.556</v>
      </c>
      <c r="M122" s="104">
        <v>2.556</v>
      </c>
      <c r="N122" s="104">
        <v>2.556</v>
      </c>
      <c r="O122" s="104">
        <v>2.556</v>
      </c>
      <c r="P122" s="104">
        <v>2.556</v>
      </c>
      <c r="Q122" s="104">
        <v>2.5819999999999999</v>
      </c>
      <c r="R122" s="104">
        <f t="shared" si="13"/>
        <v>2.5819999999999999</v>
      </c>
      <c r="S122" s="104">
        <f t="shared" si="13"/>
        <v>2.5819999999999999</v>
      </c>
      <c r="T122" s="104">
        <f t="shared" si="13"/>
        <v>2.5819999999999999</v>
      </c>
      <c r="U122" s="104"/>
    </row>
    <row r="123" spans="2:24" outlineLevel="2" x14ac:dyDescent="0.2">
      <c r="B123" s="59" t="s">
        <v>96</v>
      </c>
      <c r="C123" s="59"/>
      <c r="D123" s="59"/>
      <c r="E123" s="59"/>
      <c r="F123" s="59" t="s">
        <v>105</v>
      </c>
      <c r="G123" s="106"/>
      <c r="H123" s="106"/>
      <c r="I123" s="106"/>
      <c r="J123" s="106"/>
      <c r="K123" s="106"/>
      <c r="L123" s="99">
        <f t="shared" si="12"/>
        <v>1.51</v>
      </c>
      <c r="M123" s="106">
        <v>1.51</v>
      </c>
      <c r="N123" s="106">
        <v>1.51</v>
      </c>
      <c r="O123" s="106">
        <v>1.5069999999999999</v>
      </c>
      <c r="P123" s="106">
        <v>1.5069999999999999</v>
      </c>
      <c r="Q123" s="106">
        <v>1.5149999999999999</v>
      </c>
      <c r="R123" s="106">
        <f t="shared" si="13"/>
        <v>1.5149999999999999</v>
      </c>
      <c r="S123" s="106">
        <f t="shared" si="13"/>
        <v>1.5149999999999999</v>
      </c>
      <c r="T123" s="106">
        <f t="shared" si="13"/>
        <v>1.5149999999999999</v>
      </c>
      <c r="U123" s="106"/>
    </row>
    <row r="124" spans="2:24" outlineLevel="2" x14ac:dyDescent="0.2">
      <c r="B124" s="59" t="s">
        <v>96</v>
      </c>
      <c r="C124" s="59"/>
      <c r="D124" s="59"/>
      <c r="E124" s="59"/>
      <c r="F124" s="59" t="s">
        <v>106</v>
      </c>
      <c r="G124" s="106"/>
      <c r="H124" s="106"/>
      <c r="I124" s="106"/>
      <c r="J124" s="106"/>
      <c r="K124" s="106"/>
      <c r="L124" s="99">
        <f t="shared" si="12"/>
        <v>2.7229999999999999</v>
      </c>
      <c r="M124" s="106">
        <v>2.7229999999999999</v>
      </c>
      <c r="N124" s="106">
        <v>2.7229999999999999</v>
      </c>
      <c r="O124" s="106">
        <v>2.7229999999999999</v>
      </c>
      <c r="P124" s="106">
        <v>2.7229999999999999</v>
      </c>
      <c r="Q124" s="106">
        <v>2.738</v>
      </c>
      <c r="R124" s="106">
        <f t="shared" si="13"/>
        <v>2.738</v>
      </c>
      <c r="S124" s="106">
        <f t="shared" si="13"/>
        <v>2.738</v>
      </c>
      <c r="T124" s="106">
        <f t="shared" si="13"/>
        <v>2.738</v>
      </c>
      <c r="U124" s="106"/>
    </row>
    <row r="125" spans="2:24" outlineLevel="2" x14ac:dyDescent="0.2">
      <c r="B125" s="39" t="s">
        <v>97</v>
      </c>
      <c r="F125" s="94" t="s">
        <v>52</v>
      </c>
      <c r="G125" s="100"/>
      <c r="H125" s="100"/>
      <c r="I125" s="100"/>
      <c r="J125" s="100"/>
      <c r="K125" s="100"/>
      <c r="L125" s="101">
        <f t="shared" si="12"/>
        <v>2.1749999999999998</v>
      </c>
      <c r="M125" s="100">
        <v>2.1749999999999998</v>
      </c>
      <c r="N125" s="100">
        <v>2.1749999999999998</v>
      </c>
      <c r="O125" s="100">
        <v>2.1749999999999998</v>
      </c>
      <c r="P125" s="100">
        <v>2.1749999999999998</v>
      </c>
      <c r="Q125" s="100">
        <v>2.2000000000000002</v>
      </c>
      <c r="R125" s="100">
        <f t="shared" si="13"/>
        <v>2.2000000000000002</v>
      </c>
      <c r="S125" s="100">
        <f t="shared" si="13"/>
        <v>2.2000000000000002</v>
      </c>
      <c r="T125" s="100">
        <f t="shared" si="13"/>
        <v>2.2000000000000002</v>
      </c>
      <c r="U125" s="100"/>
    </row>
    <row r="126" spans="2:24" outlineLevel="2" x14ac:dyDescent="0.2">
      <c r="B126" s="39" t="s">
        <v>97</v>
      </c>
      <c r="F126" s="82" t="s">
        <v>51</v>
      </c>
      <c r="G126" s="102"/>
      <c r="H126" s="102"/>
      <c r="I126" s="102"/>
      <c r="J126" s="102"/>
      <c r="K126" s="102"/>
      <c r="L126" s="103">
        <f t="shared" si="12"/>
        <v>2.556</v>
      </c>
      <c r="M126" s="102">
        <v>2.556</v>
      </c>
      <c r="N126" s="102">
        <v>2.556</v>
      </c>
      <c r="O126" s="102">
        <v>2.556</v>
      </c>
      <c r="P126" s="102">
        <v>2.556</v>
      </c>
      <c r="Q126" s="102">
        <v>2.5819999999999999</v>
      </c>
      <c r="R126" s="102">
        <f t="shared" si="13"/>
        <v>2.5819999999999999</v>
      </c>
      <c r="S126" s="102">
        <f t="shared" si="13"/>
        <v>2.5819999999999999</v>
      </c>
      <c r="T126" s="102">
        <f t="shared" si="13"/>
        <v>2.5819999999999999</v>
      </c>
      <c r="U126" s="102"/>
    </row>
    <row r="127" spans="2:24" outlineLevel="2" x14ac:dyDescent="0.2">
      <c r="B127" s="39" t="s">
        <v>97</v>
      </c>
      <c r="F127" s="94" t="s">
        <v>106</v>
      </c>
      <c r="G127" s="102"/>
      <c r="H127" s="102"/>
      <c r="I127" s="102"/>
      <c r="J127" s="102"/>
      <c r="K127" s="102"/>
      <c r="L127" s="103">
        <f t="shared" si="12"/>
        <v>2.7229999999999999</v>
      </c>
      <c r="M127" s="103">
        <f>+M120</f>
        <v>2.7229999999999999</v>
      </c>
      <c r="N127" s="103">
        <f>+N120</f>
        <v>2.7229999999999999</v>
      </c>
      <c r="O127" s="102">
        <v>2.7229999999999999</v>
      </c>
      <c r="P127" s="102">
        <v>2.7229999999999999</v>
      </c>
      <c r="Q127" s="102">
        <v>2.738</v>
      </c>
      <c r="R127" s="102">
        <f t="shared" si="13"/>
        <v>2.738</v>
      </c>
      <c r="S127" s="102">
        <f t="shared" si="13"/>
        <v>2.738</v>
      </c>
      <c r="T127" s="102">
        <f t="shared" si="13"/>
        <v>2.738</v>
      </c>
      <c r="U127" s="102"/>
      <c r="X127" s="39">
        <f>+R127/$F$94</f>
        <v>1.8727770177838579</v>
      </c>
    </row>
    <row r="128" spans="2:24" outlineLevel="2" x14ac:dyDescent="0.2">
      <c r="B128" s="59" t="s">
        <v>98</v>
      </c>
      <c r="C128" s="59"/>
      <c r="D128" s="59"/>
      <c r="E128" s="59"/>
      <c r="F128" s="59" t="s">
        <v>52</v>
      </c>
      <c r="G128" s="104"/>
      <c r="H128" s="104"/>
      <c r="I128" s="104"/>
      <c r="J128" s="104"/>
      <c r="K128" s="104"/>
      <c r="L128" s="105">
        <f t="shared" si="12"/>
        <v>2.1749999999999998</v>
      </c>
      <c r="M128" s="104">
        <v>2.1749999999999998</v>
      </c>
      <c r="N128" s="104"/>
      <c r="O128" s="104">
        <v>2.1749999999999998</v>
      </c>
      <c r="P128" s="104">
        <v>2.1749999999999998</v>
      </c>
      <c r="Q128" s="104">
        <v>2.2000000000000002</v>
      </c>
      <c r="R128" s="104">
        <f t="shared" si="13"/>
        <v>2.2000000000000002</v>
      </c>
      <c r="S128" s="104">
        <f t="shared" si="13"/>
        <v>2.2000000000000002</v>
      </c>
      <c r="T128" s="104">
        <f t="shared" si="13"/>
        <v>2.2000000000000002</v>
      </c>
      <c r="U128" s="104"/>
    </row>
    <row r="129" spans="2:21" outlineLevel="2" x14ac:dyDescent="0.2">
      <c r="B129" s="14" t="s">
        <v>99</v>
      </c>
      <c r="C129" s="14"/>
      <c r="D129" s="14"/>
      <c r="E129" s="14"/>
      <c r="F129" s="94" t="s">
        <v>52</v>
      </c>
      <c r="G129" s="100"/>
      <c r="H129" s="100"/>
      <c r="I129" s="100"/>
      <c r="J129" s="100"/>
      <c r="K129" s="100"/>
      <c r="L129" s="101">
        <f t="shared" si="12"/>
        <v>2.1749999999999998</v>
      </c>
      <c r="M129" s="100">
        <v>2.1749999999999998</v>
      </c>
      <c r="N129" s="100">
        <v>2.1749999999999998</v>
      </c>
      <c r="O129" s="100">
        <v>2.1749999999999998</v>
      </c>
      <c r="P129" s="100">
        <v>2.1749999999999998</v>
      </c>
      <c r="Q129" s="100">
        <v>2.2000000000000002</v>
      </c>
      <c r="R129" s="100">
        <f t="shared" si="13"/>
        <v>2.2000000000000002</v>
      </c>
      <c r="S129" s="100">
        <f t="shared" si="13"/>
        <v>2.2000000000000002</v>
      </c>
      <c r="T129" s="100">
        <f t="shared" si="13"/>
        <v>2.2000000000000002</v>
      </c>
      <c r="U129" s="100"/>
    </row>
    <row r="130" spans="2:21" outlineLevel="2" x14ac:dyDescent="0.2">
      <c r="B130" s="14" t="s">
        <v>99</v>
      </c>
      <c r="C130" s="14"/>
      <c r="D130" s="14"/>
      <c r="E130" s="14"/>
      <c r="F130" s="82" t="s">
        <v>51</v>
      </c>
      <c r="G130" s="102"/>
      <c r="H130" s="102"/>
      <c r="I130" s="102"/>
      <c r="J130" s="102"/>
      <c r="K130" s="102"/>
      <c r="L130" s="103">
        <f t="shared" si="12"/>
        <v>2.556</v>
      </c>
      <c r="M130" s="102">
        <v>2.556</v>
      </c>
      <c r="N130" s="102">
        <v>2.556</v>
      </c>
      <c r="O130" s="102">
        <v>2.556</v>
      </c>
      <c r="P130" s="102">
        <v>2.556</v>
      </c>
      <c r="Q130" s="102">
        <v>2.5819999999999999</v>
      </c>
      <c r="R130" s="102">
        <f t="shared" si="13"/>
        <v>2.5819999999999999</v>
      </c>
      <c r="S130" s="102">
        <f t="shared" si="13"/>
        <v>2.5819999999999999</v>
      </c>
      <c r="T130" s="102">
        <f t="shared" si="13"/>
        <v>2.5819999999999999</v>
      </c>
      <c r="U130" s="102"/>
    </row>
    <row r="131" spans="2:21" outlineLevel="2" x14ac:dyDescent="0.2">
      <c r="B131" s="14" t="s">
        <v>99</v>
      </c>
      <c r="C131" s="14"/>
      <c r="D131" s="14"/>
      <c r="E131" s="14"/>
      <c r="F131" s="94" t="s">
        <v>105</v>
      </c>
      <c r="G131" s="102"/>
      <c r="H131" s="102"/>
      <c r="I131" s="102"/>
      <c r="J131" s="102"/>
      <c r="K131" s="102"/>
      <c r="L131" s="103">
        <f t="shared" si="12"/>
        <v>1.51</v>
      </c>
      <c r="M131" s="103">
        <f>+M119</f>
        <v>1.51</v>
      </c>
      <c r="N131" s="103">
        <f>+N119</f>
        <v>1.51</v>
      </c>
      <c r="O131" s="102">
        <v>1.5069999999999999</v>
      </c>
      <c r="P131" s="102">
        <v>1.5069999999999999</v>
      </c>
      <c r="Q131" s="103">
        <f>+Q119</f>
        <v>1.5149999999999999</v>
      </c>
      <c r="R131" s="102">
        <f t="shared" si="13"/>
        <v>1.5149999999999999</v>
      </c>
      <c r="S131" s="102">
        <f t="shared" si="13"/>
        <v>1.5149999999999999</v>
      </c>
      <c r="T131" s="102">
        <f t="shared" si="13"/>
        <v>1.5149999999999999</v>
      </c>
      <c r="U131" s="102"/>
    </row>
    <row r="132" spans="2:21" outlineLevel="2" x14ac:dyDescent="0.2">
      <c r="B132" s="14" t="s">
        <v>99</v>
      </c>
      <c r="C132" s="14"/>
      <c r="D132" s="14"/>
      <c r="E132" s="14"/>
      <c r="F132" s="94" t="s">
        <v>106</v>
      </c>
      <c r="G132" s="102"/>
      <c r="H132" s="102"/>
      <c r="I132" s="102"/>
      <c r="J132" s="102"/>
      <c r="K132" s="102"/>
      <c r="L132" s="103">
        <f t="shared" si="12"/>
        <v>2.7229999999999999</v>
      </c>
      <c r="M132" s="103">
        <f>+M120</f>
        <v>2.7229999999999999</v>
      </c>
      <c r="N132" s="103">
        <f>+N120</f>
        <v>2.7229999999999999</v>
      </c>
      <c r="O132" s="102">
        <v>2.7229999999999999</v>
      </c>
      <c r="P132" s="102">
        <v>2.7229999999999999</v>
      </c>
      <c r="Q132" s="102">
        <v>2.738</v>
      </c>
      <c r="R132" s="102">
        <f t="shared" si="13"/>
        <v>2.738</v>
      </c>
      <c r="S132" s="102">
        <f t="shared" si="13"/>
        <v>2.738</v>
      </c>
      <c r="T132" s="102">
        <f t="shared" si="13"/>
        <v>2.738</v>
      </c>
      <c r="U132" s="102"/>
    </row>
    <row r="133" spans="2:21" outlineLevel="2" x14ac:dyDescent="0.2">
      <c r="B133" s="59" t="s">
        <v>100</v>
      </c>
      <c r="C133" s="59"/>
      <c r="D133" s="59"/>
      <c r="E133" s="59"/>
      <c r="F133" s="59" t="s">
        <v>52</v>
      </c>
      <c r="G133" s="104"/>
      <c r="H133" s="104"/>
      <c r="I133" s="104"/>
      <c r="J133" s="104"/>
      <c r="K133" s="104"/>
      <c r="L133" s="105">
        <f t="shared" si="12"/>
        <v>2.1749999999999998</v>
      </c>
      <c r="M133" s="104">
        <v>2.1749999999999998</v>
      </c>
      <c r="N133" s="104">
        <v>2.1749999999999998</v>
      </c>
      <c r="O133" s="104">
        <v>2.1749999999999998</v>
      </c>
      <c r="P133" s="104">
        <v>2.1749999999999998</v>
      </c>
      <c r="Q133" s="104">
        <v>2.2000000000000002</v>
      </c>
      <c r="R133" s="104">
        <f t="shared" si="13"/>
        <v>2.2000000000000002</v>
      </c>
      <c r="S133" s="104">
        <f t="shared" si="13"/>
        <v>2.2000000000000002</v>
      </c>
      <c r="T133" s="104">
        <f t="shared" si="13"/>
        <v>2.2000000000000002</v>
      </c>
      <c r="U133" s="104"/>
    </row>
    <row r="134" spans="2:21" outlineLevel="2" x14ac:dyDescent="0.2">
      <c r="B134" s="59" t="s">
        <v>100</v>
      </c>
      <c r="C134" s="59"/>
      <c r="D134" s="59"/>
      <c r="E134" s="59"/>
      <c r="F134" s="59" t="s">
        <v>51</v>
      </c>
      <c r="G134" s="104"/>
      <c r="H134" s="104"/>
      <c r="I134" s="104"/>
      <c r="J134" s="104"/>
      <c r="K134" s="104"/>
      <c r="L134" s="105">
        <f t="shared" si="12"/>
        <v>2.556</v>
      </c>
      <c r="M134" s="104">
        <v>2.556</v>
      </c>
      <c r="N134" s="104">
        <v>2.556</v>
      </c>
      <c r="O134" s="104">
        <v>2.556</v>
      </c>
      <c r="P134" s="104">
        <v>2.556</v>
      </c>
      <c r="Q134" s="104">
        <v>2.5819999999999999</v>
      </c>
      <c r="R134" s="104">
        <f t="shared" si="13"/>
        <v>2.5819999999999999</v>
      </c>
      <c r="S134" s="104">
        <f t="shared" si="13"/>
        <v>2.5819999999999999</v>
      </c>
      <c r="T134" s="104">
        <f t="shared" si="13"/>
        <v>2.5819999999999999</v>
      </c>
      <c r="U134" s="104"/>
    </row>
    <row r="135" spans="2:21" outlineLevel="2" x14ac:dyDescent="0.2">
      <c r="B135" s="59" t="s">
        <v>100</v>
      </c>
      <c r="C135" s="59"/>
      <c r="D135" s="59"/>
      <c r="E135" s="59"/>
      <c r="F135" s="59" t="s">
        <v>105</v>
      </c>
      <c r="G135" s="106"/>
      <c r="H135" s="106"/>
      <c r="I135" s="106"/>
      <c r="J135" s="106"/>
      <c r="K135" s="106"/>
      <c r="L135" s="99">
        <f t="shared" si="12"/>
        <v>1.51</v>
      </c>
      <c r="M135" s="99">
        <f>+M119</f>
        <v>1.51</v>
      </c>
      <c r="N135" s="99">
        <f>+N119</f>
        <v>1.51</v>
      </c>
      <c r="O135" s="106">
        <v>1.5069999999999999</v>
      </c>
      <c r="P135" s="106">
        <v>1.5069999999999999</v>
      </c>
      <c r="Q135" s="99">
        <f>+Q119</f>
        <v>1.5149999999999999</v>
      </c>
      <c r="R135" s="106">
        <f t="shared" si="13"/>
        <v>1.5149999999999999</v>
      </c>
      <c r="S135" s="106">
        <f t="shared" si="13"/>
        <v>1.5149999999999999</v>
      </c>
      <c r="T135" s="106">
        <f t="shared" si="13"/>
        <v>1.5149999999999999</v>
      </c>
      <c r="U135" s="106"/>
    </row>
    <row r="136" spans="2:21" outlineLevel="2" x14ac:dyDescent="0.2">
      <c r="B136" s="39" t="s">
        <v>107</v>
      </c>
      <c r="F136" s="94" t="s">
        <v>52</v>
      </c>
      <c r="G136" s="102"/>
      <c r="H136" s="102"/>
      <c r="I136" s="102"/>
      <c r="J136" s="102"/>
      <c r="K136" s="102"/>
      <c r="L136" s="103">
        <f t="shared" si="12"/>
        <v>2.3420000000000001</v>
      </c>
      <c r="M136" s="102">
        <v>2.3420000000000001</v>
      </c>
      <c r="N136" s="102">
        <v>2.3420000000000001</v>
      </c>
      <c r="O136" s="102">
        <v>2.3420000000000001</v>
      </c>
      <c r="P136" s="102">
        <v>2.3420000000000001</v>
      </c>
      <c r="Q136" s="102">
        <v>2.3650000000000002</v>
      </c>
      <c r="R136" s="102">
        <f t="shared" si="13"/>
        <v>2.3650000000000002</v>
      </c>
      <c r="S136" s="102">
        <f t="shared" si="13"/>
        <v>2.3650000000000002</v>
      </c>
      <c r="T136" s="102">
        <f t="shared" si="13"/>
        <v>2.3650000000000002</v>
      </c>
      <c r="U136" s="102"/>
    </row>
    <row r="137" spans="2:21" outlineLevel="2" x14ac:dyDescent="0.2">
      <c r="B137" s="39" t="s">
        <v>107</v>
      </c>
      <c r="F137" s="82" t="s">
        <v>51</v>
      </c>
      <c r="G137" s="102"/>
      <c r="H137" s="102"/>
      <c r="I137" s="102"/>
      <c r="J137" s="102"/>
      <c r="K137" s="102"/>
      <c r="L137" s="103">
        <f t="shared" si="12"/>
        <v>2.5339999999999998</v>
      </c>
      <c r="M137" s="102">
        <v>2.5339999999999998</v>
      </c>
      <c r="N137" s="102">
        <v>2.5339999999999998</v>
      </c>
      <c r="O137" s="102">
        <v>2.5339999999999998</v>
      </c>
      <c r="P137" s="102">
        <v>2.5339999999999998</v>
      </c>
      <c r="Q137" s="102">
        <v>2.56</v>
      </c>
      <c r="R137" s="102">
        <f t="shared" si="13"/>
        <v>2.56</v>
      </c>
      <c r="S137" s="102">
        <f t="shared" si="13"/>
        <v>2.56</v>
      </c>
      <c r="T137" s="102">
        <f t="shared" si="13"/>
        <v>2.56</v>
      </c>
      <c r="U137" s="102"/>
    </row>
    <row r="138" spans="2:21" outlineLevel="2" x14ac:dyDescent="0.2">
      <c r="B138" s="86"/>
      <c r="C138" s="86"/>
      <c r="D138" s="86"/>
      <c r="E138" s="86"/>
    </row>
    <row r="139" spans="2:21" outlineLevel="2" x14ac:dyDescent="0.2">
      <c r="B139" s="86" t="s">
        <v>20</v>
      </c>
      <c r="C139" s="86"/>
      <c r="D139" s="86"/>
      <c r="E139" s="86"/>
    </row>
    <row r="140" spans="2:21" outlineLevel="2" x14ac:dyDescent="0.2">
      <c r="B140" s="87" t="s">
        <v>92</v>
      </c>
      <c r="C140" s="87"/>
      <c r="D140" s="87"/>
      <c r="E140" s="87"/>
      <c r="F140" s="17" t="s">
        <v>6</v>
      </c>
      <c r="G140" s="24">
        <v>2006</v>
      </c>
      <c r="H140" s="24">
        <v>2007</v>
      </c>
      <c r="I140" s="24">
        <v>2008</v>
      </c>
      <c r="J140" s="24">
        <v>2009</v>
      </c>
      <c r="K140" s="24">
        <v>2010</v>
      </c>
      <c r="L140" s="24">
        <v>2011</v>
      </c>
      <c r="M140" s="24">
        <v>2012</v>
      </c>
      <c r="N140" s="24">
        <v>2013</v>
      </c>
      <c r="O140" s="24">
        <v>2014</v>
      </c>
      <c r="P140" s="24">
        <v>2015</v>
      </c>
      <c r="Q140" s="24">
        <v>2016</v>
      </c>
      <c r="R140" s="24">
        <v>2017</v>
      </c>
      <c r="S140" s="24">
        <v>2018</v>
      </c>
      <c r="T140" s="24">
        <v>2019</v>
      </c>
      <c r="U140" s="24">
        <v>2020</v>
      </c>
    </row>
    <row r="141" spans="2:21" outlineLevel="2" x14ac:dyDescent="0.2">
      <c r="B141" s="82" t="s">
        <v>95</v>
      </c>
      <c r="C141" s="82"/>
      <c r="D141" s="82"/>
      <c r="E141" s="82"/>
      <c r="F141" s="94" t="s">
        <v>52</v>
      </c>
      <c r="G141" s="107"/>
      <c r="H141" s="107"/>
      <c r="I141" s="107"/>
      <c r="J141" s="107"/>
      <c r="K141" s="107"/>
      <c r="L141" s="108">
        <f t="shared" ref="L141:L161" si="14">+M141</f>
        <v>2.3000000000000001E-4</v>
      </c>
      <c r="M141" s="107">
        <v>2.3000000000000001E-4</v>
      </c>
      <c r="N141" s="107">
        <v>2.3000000000000001E-4</v>
      </c>
      <c r="O141" s="107">
        <v>2.3000000000000001E-4</v>
      </c>
      <c r="P141" s="107">
        <v>2.3000000000000001E-4</v>
      </c>
      <c r="Q141" s="107">
        <v>2.3000000000000001E-4</v>
      </c>
      <c r="R141" s="107">
        <f t="shared" ref="R141:T161" si="15">+Q141</f>
        <v>2.3000000000000001E-4</v>
      </c>
      <c r="S141" s="107">
        <f t="shared" si="15"/>
        <v>2.3000000000000001E-4</v>
      </c>
      <c r="T141" s="107">
        <f t="shared" si="15"/>
        <v>2.3000000000000001E-4</v>
      </c>
      <c r="U141" s="107"/>
    </row>
    <row r="142" spans="2:21" outlineLevel="2" x14ac:dyDescent="0.2">
      <c r="B142" s="39" t="s">
        <v>95</v>
      </c>
      <c r="F142" s="82" t="s">
        <v>51</v>
      </c>
      <c r="G142" s="109"/>
      <c r="H142" s="109"/>
      <c r="I142" s="109"/>
      <c r="J142" s="109"/>
      <c r="K142" s="109"/>
      <c r="L142" s="110">
        <f t="shared" si="14"/>
        <v>5.1E-5</v>
      </c>
      <c r="M142" s="109">
        <v>5.1E-5</v>
      </c>
      <c r="N142" s="109">
        <v>5.1E-5</v>
      </c>
      <c r="O142" s="109">
        <v>5.1E-5</v>
      </c>
      <c r="P142" s="109">
        <v>5.1E-5</v>
      </c>
      <c r="Q142" s="109">
        <v>5.1E-5</v>
      </c>
      <c r="R142" s="109">
        <f t="shared" si="15"/>
        <v>5.1E-5</v>
      </c>
      <c r="S142" s="109">
        <f t="shared" si="15"/>
        <v>5.1E-5</v>
      </c>
      <c r="T142" s="109">
        <f t="shared" si="15"/>
        <v>5.1E-5</v>
      </c>
      <c r="U142" s="109"/>
    </row>
    <row r="143" spans="2:21" outlineLevel="2" x14ac:dyDescent="0.2">
      <c r="B143" s="39" t="s">
        <v>95</v>
      </c>
      <c r="F143" s="82" t="s">
        <v>105</v>
      </c>
      <c r="G143" s="109"/>
      <c r="H143" s="109"/>
      <c r="I143" s="109"/>
      <c r="J143" s="109"/>
      <c r="K143" s="109"/>
      <c r="L143" s="110">
        <f t="shared" si="14"/>
        <v>6.4000000000000005E-4</v>
      </c>
      <c r="M143" s="109">
        <v>6.4000000000000005E-4</v>
      </c>
      <c r="N143" s="109">
        <v>6.4000000000000005E-4</v>
      </c>
      <c r="O143" s="109">
        <v>6.4000000000000005E-4</v>
      </c>
      <c r="P143" s="109">
        <v>6.4000000000000005E-4</v>
      </c>
      <c r="Q143" s="109">
        <v>6.4000000000000005E-4</v>
      </c>
      <c r="R143" s="109">
        <f t="shared" si="15"/>
        <v>6.4000000000000005E-4</v>
      </c>
      <c r="S143" s="109">
        <f t="shared" si="15"/>
        <v>6.4000000000000005E-4</v>
      </c>
      <c r="T143" s="109">
        <f t="shared" si="15"/>
        <v>6.4000000000000005E-4</v>
      </c>
      <c r="U143" s="109"/>
    </row>
    <row r="144" spans="2:21" outlineLevel="2" x14ac:dyDescent="0.2">
      <c r="B144" s="39" t="s">
        <v>95</v>
      </c>
      <c r="F144" s="82" t="s">
        <v>106</v>
      </c>
      <c r="G144" s="109"/>
      <c r="H144" s="109"/>
      <c r="I144" s="109"/>
      <c r="J144" s="109"/>
      <c r="K144" s="109"/>
      <c r="L144" s="110">
        <f t="shared" si="14"/>
        <v>1.2999999999999999E-2</v>
      </c>
      <c r="M144" s="109">
        <v>1.2999999999999999E-2</v>
      </c>
      <c r="N144" s="109">
        <v>1.2999999999999999E-2</v>
      </c>
      <c r="O144" s="109">
        <v>1.2999999999999999E-2</v>
      </c>
      <c r="P144" s="109">
        <v>1.2999999999999999E-2</v>
      </c>
      <c r="Q144" s="109">
        <v>1.2999999999999999E-2</v>
      </c>
      <c r="R144" s="109">
        <f t="shared" si="15"/>
        <v>1.2999999999999999E-2</v>
      </c>
      <c r="S144" s="109">
        <f t="shared" si="15"/>
        <v>1.2999999999999999E-2</v>
      </c>
      <c r="T144" s="109">
        <f t="shared" si="15"/>
        <v>1.2999999999999999E-2</v>
      </c>
      <c r="U144" s="109"/>
    </row>
    <row r="145" spans="2:24" outlineLevel="2" x14ac:dyDescent="0.2">
      <c r="B145" s="59" t="s">
        <v>96</v>
      </c>
      <c r="C145" s="59"/>
      <c r="D145" s="59"/>
      <c r="E145" s="59"/>
      <c r="F145" s="59" t="s">
        <v>52</v>
      </c>
      <c r="G145" s="111"/>
      <c r="H145" s="111"/>
      <c r="I145" s="111"/>
      <c r="J145" s="111"/>
      <c r="K145" s="111"/>
      <c r="L145" s="112">
        <f t="shared" si="14"/>
        <v>2.4000000000000001E-4</v>
      </c>
      <c r="M145" s="111">
        <v>2.4000000000000001E-4</v>
      </c>
      <c r="N145" s="111">
        <v>2.4000000000000001E-4</v>
      </c>
      <c r="O145" s="111">
        <v>2.4000000000000001E-4</v>
      </c>
      <c r="P145" s="111">
        <v>2.4000000000000001E-4</v>
      </c>
      <c r="Q145" s="111">
        <v>2.4000000000000001E-4</v>
      </c>
      <c r="R145" s="111">
        <f t="shared" si="15"/>
        <v>2.4000000000000001E-4</v>
      </c>
      <c r="S145" s="111">
        <f t="shared" si="15"/>
        <v>2.4000000000000001E-4</v>
      </c>
      <c r="T145" s="111">
        <f t="shared" si="15"/>
        <v>2.4000000000000001E-4</v>
      </c>
      <c r="U145" s="111"/>
    </row>
    <row r="146" spans="2:24" outlineLevel="2" x14ac:dyDescent="0.2">
      <c r="B146" s="59" t="s">
        <v>96</v>
      </c>
      <c r="C146" s="59"/>
      <c r="D146" s="59"/>
      <c r="E146" s="59"/>
      <c r="F146" s="59" t="s">
        <v>51</v>
      </c>
      <c r="G146" s="111"/>
      <c r="H146" s="111"/>
      <c r="I146" s="111"/>
      <c r="J146" s="111"/>
      <c r="K146" s="111"/>
      <c r="L146" s="112">
        <f t="shared" si="14"/>
        <v>6.7999999999999999E-5</v>
      </c>
      <c r="M146" s="111">
        <v>6.7999999999999999E-5</v>
      </c>
      <c r="N146" s="111">
        <v>6.7999999999999999E-5</v>
      </c>
      <c r="O146" s="111">
        <v>6.7999999999999999E-5</v>
      </c>
      <c r="P146" s="111">
        <v>6.7999999999999999E-5</v>
      </c>
      <c r="Q146" s="111">
        <v>6.7999999999999999E-5</v>
      </c>
      <c r="R146" s="111">
        <f t="shared" si="15"/>
        <v>6.7999999999999999E-5</v>
      </c>
      <c r="S146" s="111">
        <f t="shared" si="15"/>
        <v>6.7999999999999999E-5</v>
      </c>
      <c r="T146" s="111">
        <f t="shared" si="15"/>
        <v>6.7999999999999999E-5</v>
      </c>
      <c r="U146" s="111"/>
    </row>
    <row r="147" spans="2:24" outlineLevel="2" x14ac:dyDescent="0.2">
      <c r="B147" s="59" t="s">
        <v>96</v>
      </c>
      <c r="C147" s="59"/>
      <c r="D147" s="59"/>
      <c r="E147" s="59"/>
      <c r="F147" s="59" t="s">
        <v>105</v>
      </c>
      <c r="G147" s="113"/>
      <c r="H147" s="113"/>
      <c r="I147" s="113"/>
      <c r="J147" s="113"/>
      <c r="K147" s="113"/>
      <c r="L147" s="114">
        <f t="shared" si="14"/>
        <v>6.4000000000000005E-4</v>
      </c>
      <c r="M147" s="113">
        <v>6.4000000000000005E-4</v>
      </c>
      <c r="N147" s="113">
        <v>6.4000000000000005E-4</v>
      </c>
      <c r="O147" s="113">
        <v>6.4000000000000005E-4</v>
      </c>
      <c r="P147" s="113">
        <v>6.4000000000000005E-4</v>
      </c>
      <c r="Q147" s="113">
        <v>6.4000000000000005E-4</v>
      </c>
      <c r="R147" s="113">
        <f t="shared" si="15"/>
        <v>6.4000000000000005E-4</v>
      </c>
      <c r="S147" s="113">
        <f t="shared" si="15"/>
        <v>6.4000000000000005E-4</v>
      </c>
      <c r="T147" s="113">
        <f t="shared" si="15"/>
        <v>6.4000000000000005E-4</v>
      </c>
      <c r="U147" s="113"/>
    </row>
    <row r="148" spans="2:24" outlineLevel="2" x14ac:dyDescent="0.2">
      <c r="B148" s="59" t="s">
        <v>96</v>
      </c>
      <c r="C148" s="59"/>
      <c r="D148" s="59"/>
      <c r="E148" s="59"/>
      <c r="F148" s="59" t="s">
        <v>106</v>
      </c>
      <c r="G148" s="113"/>
      <c r="H148" s="113"/>
      <c r="I148" s="113"/>
      <c r="J148" s="113"/>
      <c r="K148" s="113"/>
      <c r="L148" s="114">
        <f t="shared" si="14"/>
        <v>1.2999999999999999E-2</v>
      </c>
      <c r="M148" s="113">
        <v>1.2999999999999999E-2</v>
      </c>
      <c r="N148" s="113">
        <v>1.2999999999999999E-2</v>
      </c>
      <c r="O148" s="113">
        <v>1.2999999999999999E-2</v>
      </c>
      <c r="P148" s="113">
        <v>1.2999999999999999E-2</v>
      </c>
      <c r="Q148" s="113">
        <v>1.2999999999999999E-2</v>
      </c>
      <c r="R148" s="113">
        <f t="shared" si="15"/>
        <v>1.2999999999999999E-2</v>
      </c>
      <c r="S148" s="113">
        <f t="shared" si="15"/>
        <v>1.2999999999999999E-2</v>
      </c>
      <c r="T148" s="113">
        <f t="shared" si="15"/>
        <v>1.2999999999999999E-2</v>
      </c>
      <c r="U148" s="113"/>
    </row>
    <row r="149" spans="2:24" outlineLevel="2" x14ac:dyDescent="0.2">
      <c r="B149" s="39" t="s">
        <v>97</v>
      </c>
      <c r="F149" s="94" t="s">
        <v>52</v>
      </c>
      <c r="G149" s="107"/>
      <c r="H149" s="107"/>
      <c r="I149" s="107"/>
      <c r="J149" s="107"/>
      <c r="K149" s="107"/>
      <c r="L149" s="108">
        <f t="shared" si="14"/>
        <v>6.7999999999999999E-5</v>
      </c>
      <c r="M149" s="107">
        <v>6.7999999999999999E-5</v>
      </c>
      <c r="N149" s="107">
        <v>6.7999999999999999E-5</v>
      </c>
      <c r="O149" s="107">
        <v>6.7999999999999999E-5</v>
      </c>
      <c r="P149" s="107">
        <v>6.7999999999999999E-5</v>
      </c>
      <c r="Q149" s="107">
        <v>6.7999999999999999E-5</v>
      </c>
      <c r="R149" s="107">
        <f t="shared" si="15"/>
        <v>6.7999999999999999E-5</v>
      </c>
      <c r="S149" s="107">
        <f t="shared" si="15"/>
        <v>6.7999999999999999E-5</v>
      </c>
      <c r="T149" s="107">
        <f t="shared" si="15"/>
        <v>6.7999999999999999E-5</v>
      </c>
      <c r="U149" s="107"/>
    </row>
    <row r="150" spans="2:24" outlineLevel="2" x14ac:dyDescent="0.2">
      <c r="B150" s="39" t="s">
        <v>97</v>
      </c>
      <c r="F150" s="82" t="s">
        <v>51</v>
      </c>
      <c r="G150" s="109"/>
      <c r="H150" s="109"/>
      <c r="I150" s="109"/>
      <c r="J150" s="109"/>
      <c r="K150" s="109"/>
      <c r="L150" s="110">
        <f t="shared" si="14"/>
        <v>1.1E-4</v>
      </c>
      <c r="M150" s="109">
        <v>1.1E-4</v>
      </c>
      <c r="N150" s="109">
        <v>1.1E-4</v>
      </c>
      <c r="O150" s="109">
        <v>1.1E-4</v>
      </c>
      <c r="P150" s="109">
        <v>1.1E-4</v>
      </c>
      <c r="Q150" s="109">
        <v>1.1E-4</v>
      </c>
      <c r="R150" s="109">
        <f t="shared" si="15"/>
        <v>1.1E-4</v>
      </c>
      <c r="S150" s="109">
        <f t="shared" si="15"/>
        <v>1.1E-4</v>
      </c>
      <c r="T150" s="109">
        <f t="shared" si="15"/>
        <v>1.1E-4</v>
      </c>
      <c r="U150" s="109"/>
    </row>
    <row r="151" spans="2:24" outlineLevel="2" x14ac:dyDescent="0.2">
      <c r="B151" s="39" t="s">
        <v>97</v>
      </c>
      <c r="F151" s="94" t="s">
        <v>106</v>
      </c>
      <c r="G151" s="109"/>
      <c r="H151" s="109"/>
      <c r="I151" s="109"/>
      <c r="J151" s="109"/>
      <c r="K151" s="109"/>
      <c r="L151" s="110">
        <f t="shared" si="14"/>
        <v>1.2999999999999999E-2</v>
      </c>
      <c r="M151" s="110">
        <f>+M144</f>
        <v>1.2999999999999999E-2</v>
      </c>
      <c r="N151" s="110">
        <f>+N144</f>
        <v>1.2999999999999999E-2</v>
      </c>
      <c r="O151" s="109">
        <v>1.2999999999999999E-2</v>
      </c>
      <c r="P151" s="109">
        <v>1.2999999999999999E-2</v>
      </c>
      <c r="Q151" s="109">
        <v>1.2999999999999999E-2</v>
      </c>
      <c r="R151" s="109">
        <f t="shared" si="15"/>
        <v>1.2999999999999999E-2</v>
      </c>
      <c r="S151" s="109">
        <f t="shared" si="15"/>
        <v>1.2999999999999999E-2</v>
      </c>
      <c r="T151" s="109">
        <f t="shared" si="15"/>
        <v>1.2999999999999999E-2</v>
      </c>
      <c r="U151" s="109"/>
      <c r="W151" s="39">
        <f>+R151/$F$94</f>
        <v>8.8919288645690833E-3</v>
      </c>
      <c r="X151" s="115">
        <f>+W151*25</f>
        <v>0.22229822161422708</v>
      </c>
    </row>
    <row r="152" spans="2:24" outlineLevel="2" x14ac:dyDescent="0.2">
      <c r="B152" s="59" t="s">
        <v>98</v>
      </c>
      <c r="C152" s="59"/>
      <c r="D152" s="59"/>
      <c r="E152" s="59"/>
      <c r="F152" s="59" t="s">
        <v>52</v>
      </c>
      <c r="G152" s="111"/>
      <c r="H152" s="111"/>
      <c r="I152" s="111"/>
      <c r="J152" s="111"/>
      <c r="K152" s="111"/>
      <c r="L152" s="112">
        <f t="shared" si="14"/>
        <v>7.6999999999999996E-4</v>
      </c>
      <c r="M152" s="111">
        <v>7.6999999999999996E-4</v>
      </c>
      <c r="N152" s="111">
        <v>7.6999999999999996E-4</v>
      </c>
      <c r="O152" s="111">
        <v>7.6999999999999996E-4</v>
      </c>
      <c r="P152" s="111">
        <v>7.6999999999999996E-4</v>
      </c>
      <c r="Q152" s="111">
        <v>7.6999999999999996E-4</v>
      </c>
      <c r="R152" s="111">
        <f t="shared" si="15"/>
        <v>7.6999999999999996E-4</v>
      </c>
      <c r="S152" s="111">
        <f t="shared" si="15"/>
        <v>7.6999999999999996E-4</v>
      </c>
      <c r="T152" s="111">
        <f t="shared" si="15"/>
        <v>7.6999999999999996E-4</v>
      </c>
      <c r="U152" s="111"/>
    </row>
    <row r="153" spans="2:24" outlineLevel="2" x14ac:dyDescent="0.2">
      <c r="B153" s="14" t="s">
        <v>99</v>
      </c>
      <c r="C153" s="14"/>
      <c r="D153" s="14"/>
      <c r="E153" s="14"/>
      <c r="F153" s="94" t="s">
        <v>52</v>
      </c>
      <c r="G153" s="107"/>
      <c r="H153" s="107"/>
      <c r="I153" s="107"/>
      <c r="J153" s="107"/>
      <c r="K153" s="107"/>
      <c r="L153" s="108">
        <f t="shared" si="14"/>
        <v>2.7000000000000001E-3</v>
      </c>
      <c r="M153" s="107">
        <v>2.7000000000000001E-3</v>
      </c>
      <c r="N153" s="107">
        <v>2.7000000000000001E-3</v>
      </c>
      <c r="O153" s="107">
        <v>2.7000000000000001E-3</v>
      </c>
      <c r="P153" s="107">
        <v>2.7000000000000001E-3</v>
      </c>
      <c r="Q153" s="107">
        <v>2.7000000000000001E-3</v>
      </c>
      <c r="R153" s="107">
        <f t="shared" si="15"/>
        <v>2.7000000000000001E-3</v>
      </c>
      <c r="S153" s="107">
        <f t="shared" si="15"/>
        <v>2.7000000000000001E-3</v>
      </c>
      <c r="T153" s="107">
        <f t="shared" si="15"/>
        <v>2.7000000000000001E-3</v>
      </c>
      <c r="U153" s="107"/>
    </row>
    <row r="154" spans="2:24" outlineLevel="2" x14ac:dyDescent="0.2">
      <c r="B154" s="14" t="s">
        <v>99</v>
      </c>
      <c r="C154" s="14"/>
      <c r="D154" s="14"/>
      <c r="E154" s="14"/>
      <c r="F154" s="82" t="s">
        <v>51</v>
      </c>
      <c r="G154" s="109"/>
      <c r="H154" s="109"/>
      <c r="I154" s="109"/>
      <c r="J154" s="109"/>
      <c r="K154" s="109"/>
      <c r="L154" s="110">
        <f t="shared" si="14"/>
        <v>1.4999999999999999E-4</v>
      </c>
      <c r="M154" s="109">
        <v>1.4999999999999999E-4</v>
      </c>
      <c r="N154" s="109">
        <v>1.4999999999999999E-4</v>
      </c>
      <c r="O154" s="109">
        <v>1.4999999999999999E-4</v>
      </c>
      <c r="P154" s="109">
        <v>1.4999999999999999E-4</v>
      </c>
      <c r="Q154" s="109">
        <v>1.4999999999999999E-4</v>
      </c>
      <c r="R154" s="109">
        <f t="shared" si="15"/>
        <v>1.4999999999999999E-4</v>
      </c>
      <c r="S154" s="109">
        <f t="shared" si="15"/>
        <v>1.4999999999999999E-4</v>
      </c>
      <c r="T154" s="109">
        <f t="shared" si="15"/>
        <v>1.4999999999999999E-4</v>
      </c>
      <c r="U154" s="109"/>
    </row>
    <row r="155" spans="2:24" outlineLevel="2" x14ac:dyDescent="0.2">
      <c r="B155" s="14" t="s">
        <v>99</v>
      </c>
      <c r="C155" s="14"/>
      <c r="D155" s="14"/>
      <c r="E155" s="14"/>
      <c r="F155" s="94" t="s">
        <v>105</v>
      </c>
      <c r="G155" s="109"/>
      <c r="H155" s="109"/>
      <c r="I155" s="109"/>
      <c r="J155" s="109"/>
      <c r="K155" s="109"/>
      <c r="L155" s="110">
        <f t="shared" si="14"/>
        <v>6.4000000000000005E-4</v>
      </c>
      <c r="M155" s="110">
        <f>+M143</f>
        <v>6.4000000000000005E-4</v>
      </c>
      <c r="N155" s="110">
        <f>+N143</f>
        <v>6.4000000000000005E-4</v>
      </c>
      <c r="O155" s="109">
        <v>6.4000000000000005E-4</v>
      </c>
      <c r="P155" s="109">
        <v>6.4000000000000005E-4</v>
      </c>
      <c r="Q155" s="110">
        <f>+Q143</f>
        <v>6.4000000000000005E-4</v>
      </c>
      <c r="R155" s="109">
        <f t="shared" si="15"/>
        <v>6.4000000000000005E-4</v>
      </c>
      <c r="S155" s="109">
        <f t="shared" si="15"/>
        <v>6.4000000000000005E-4</v>
      </c>
      <c r="T155" s="109">
        <f t="shared" si="15"/>
        <v>6.4000000000000005E-4</v>
      </c>
      <c r="U155" s="109"/>
    </row>
    <row r="156" spans="2:24" outlineLevel="2" x14ac:dyDescent="0.2">
      <c r="B156" s="14" t="s">
        <v>99</v>
      </c>
      <c r="C156" s="14"/>
      <c r="D156" s="14"/>
      <c r="E156" s="14"/>
      <c r="F156" s="94" t="s">
        <v>106</v>
      </c>
      <c r="G156" s="109"/>
      <c r="H156" s="109"/>
      <c r="I156" s="109"/>
      <c r="J156" s="109"/>
      <c r="K156" s="109"/>
      <c r="L156" s="110">
        <f t="shared" si="14"/>
        <v>1.2999999999999999E-2</v>
      </c>
      <c r="M156" s="110">
        <f>+M144</f>
        <v>1.2999999999999999E-2</v>
      </c>
      <c r="N156" s="110">
        <f>+N144</f>
        <v>1.2999999999999999E-2</v>
      </c>
      <c r="O156" s="109">
        <v>1.2999999999999999E-2</v>
      </c>
      <c r="P156" s="109">
        <v>1.2999999999999999E-2</v>
      </c>
      <c r="Q156" s="109">
        <v>1.2999999999999999E-2</v>
      </c>
      <c r="R156" s="109">
        <f t="shared" si="15"/>
        <v>1.2999999999999999E-2</v>
      </c>
      <c r="S156" s="109">
        <f t="shared" si="15"/>
        <v>1.2999999999999999E-2</v>
      </c>
      <c r="T156" s="109">
        <f t="shared" si="15"/>
        <v>1.2999999999999999E-2</v>
      </c>
      <c r="U156" s="109"/>
    </row>
    <row r="157" spans="2:24" outlineLevel="2" x14ac:dyDescent="0.2">
      <c r="B157" s="59" t="s">
        <v>100</v>
      </c>
      <c r="C157" s="59"/>
      <c r="D157" s="59"/>
      <c r="E157" s="59"/>
      <c r="F157" s="59" t="s">
        <v>52</v>
      </c>
      <c r="G157" s="111"/>
      <c r="H157" s="111"/>
      <c r="I157" s="111"/>
      <c r="J157" s="111"/>
      <c r="K157" s="111"/>
      <c r="L157" s="112">
        <f t="shared" si="14"/>
        <v>1.2999999999999999E-3</v>
      </c>
      <c r="M157" s="111">
        <v>1.2999999999999999E-3</v>
      </c>
      <c r="N157" s="111">
        <v>1.2999999999999999E-3</v>
      </c>
      <c r="O157" s="111">
        <v>1.2999999999999999E-3</v>
      </c>
      <c r="P157" s="111">
        <v>1.2999999999999999E-3</v>
      </c>
      <c r="Q157" s="111">
        <v>1.2999999999999999E-3</v>
      </c>
      <c r="R157" s="111">
        <f t="shared" si="15"/>
        <v>1.2999999999999999E-3</v>
      </c>
      <c r="S157" s="111">
        <f t="shared" si="15"/>
        <v>1.2999999999999999E-3</v>
      </c>
      <c r="T157" s="111">
        <f t="shared" si="15"/>
        <v>1.2999999999999999E-3</v>
      </c>
      <c r="U157" s="111"/>
    </row>
    <row r="158" spans="2:24" outlineLevel="2" x14ac:dyDescent="0.2">
      <c r="B158" s="59" t="s">
        <v>100</v>
      </c>
      <c r="C158" s="59"/>
      <c r="D158" s="59"/>
      <c r="E158" s="59"/>
      <c r="F158" s="59" t="s">
        <v>51</v>
      </c>
      <c r="G158" s="111"/>
      <c r="H158" s="111"/>
      <c r="I158" s="111"/>
      <c r="J158" s="111"/>
      <c r="K158" s="111"/>
      <c r="L158" s="112">
        <f t="shared" si="14"/>
        <v>1.4999999999999999E-4</v>
      </c>
      <c r="M158" s="111">
        <v>1.4999999999999999E-4</v>
      </c>
      <c r="N158" s="111">
        <v>1.4999999999999999E-4</v>
      </c>
      <c r="O158" s="111">
        <v>1.4999999999999999E-4</v>
      </c>
      <c r="P158" s="111">
        <v>1.4999999999999999E-4</v>
      </c>
      <c r="Q158" s="111">
        <v>1.4999999999999999E-4</v>
      </c>
      <c r="R158" s="111">
        <f t="shared" si="15"/>
        <v>1.4999999999999999E-4</v>
      </c>
      <c r="S158" s="111">
        <f t="shared" si="15"/>
        <v>1.4999999999999999E-4</v>
      </c>
      <c r="T158" s="111">
        <f t="shared" si="15"/>
        <v>1.4999999999999999E-4</v>
      </c>
      <c r="U158" s="111"/>
    </row>
    <row r="159" spans="2:24" outlineLevel="2" x14ac:dyDescent="0.2">
      <c r="B159" s="59" t="s">
        <v>100</v>
      </c>
      <c r="C159" s="59"/>
      <c r="D159" s="59"/>
      <c r="E159" s="59"/>
      <c r="F159" s="59" t="s">
        <v>105</v>
      </c>
      <c r="G159" s="113"/>
      <c r="H159" s="113"/>
      <c r="I159" s="113"/>
      <c r="J159" s="113"/>
      <c r="K159" s="113"/>
      <c r="L159" s="114">
        <f t="shared" si="14"/>
        <v>6.4000000000000005E-4</v>
      </c>
      <c r="M159" s="114">
        <f>+M143</f>
        <v>6.4000000000000005E-4</v>
      </c>
      <c r="N159" s="114">
        <f>+N143</f>
        <v>6.4000000000000005E-4</v>
      </c>
      <c r="O159" s="113">
        <v>6.4000000000000005E-4</v>
      </c>
      <c r="P159" s="113">
        <v>6.4000000000000005E-4</v>
      </c>
      <c r="Q159" s="99">
        <f>+Q143</f>
        <v>6.4000000000000005E-4</v>
      </c>
      <c r="R159" s="113">
        <f t="shared" si="15"/>
        <v>6.4000000000000005E-4</v>
      </c>
      <c r="S159" s="113">
        <f t="shared" si="15"/>
        <v>6.4000000000000005E-4</v>
      </c>
      <c r="T159" s="113">
        <f t="shared" si="15"/>
        <v>6.4000000000000005E-4</v>
      </c>
      <c r="U159" s="113"/>
    </row>
    <row r="160" spans="2:24" outlineLevel="2" x14ac:dyDescent="0.2">
      <c r="B160" s="39" t="s">
        <v>107</v>
      </c>
      <c r="F160" s="94" t="s">
        <v>52</v>
      </c>
      <c r="G160" s="109"/>
      <c r="H160" s="109"/>
      <c r="I160" s="109"/>
      <c r="J160" s="109"/>
      <c r="K160" s="109"/>
      <c r="L160" s="110">
        <f t="shared" si="14"/>
        <v>2.2000000000000001E-3</v>
      </c>
      <c r="M160" s="109">
        <v>2.2000000000000001E-3</v>
      </c>
      <c r="N160" s="109">
        <v>2.2000000000000001E-3</v>
      </c>
      <c r="O160" s="109">
        <v>2.2000000000000001E-3</v>
      </c>
      <c r="P160" s="109">
        <v>2.2000000000000001E-3</v>
      </c>
      <c r="Q160" s="109">
        <v>2.2000000000000001E-3</v>
      </c>
      <c r="R160" s="109">
        <f t="shared" si="15"/>
        <v>2.2000000000000001E-3</v>
      </c>
      <c r="S160" s="109">
        <f t="shared" si="15"/>
        <v>2.2000000000000001E-3</v>
      </c>
      <c r="T160" s="109">
        <f t="shared" si="15"/>
        <v>2.2000000000000001E-3</v>
      </c>
      <c r="U160" s="109"/>
    </row>
    <row r="161" spans="2:24" outlineLevel="2" x14ac:dyDescent="0.2">
      <c r="B161" s="39" t="s">
        <v>107</v>
      </c>
      <c r="F161" s="82" t="s">
        <v>51</v>
      </c>
      <c r="G161" s="109"/>
      <c r="H161" s="109"/>
      <c r="I161" s="109"/>
      <c r="J161" s="109"/>
      <c r="K161" s="109"/>
      <c r="L161" s="110">
        <f t="shared" si="14"/>
        <v>2.8E-5</v>
      </c>
      <c r="M161" s="109">
        <v>2.8E-5</v>
      </c>
      <c r="N161" s="109">
        <v>3.4E-5</v>
      </c>
      <c r="O161" s="109">
        <v>2.9E-5</v>
      </c>
      <c r="P161" s="109">
        <v>2.9E-5</v>
      </c>
      <c r="Q161" s="109">
        <v>2.9E-5</v>
      </c>
      <c r="R161" s="109">
        <f t="shared" si="15"/>
        <v>2.9E-5</v>
      </c>
      <c r="S161" s="109">
        <f t="shared" si="15"/>
        <v>2.9E-5</v>
      </c>
      <c r="T161" s="109">
        <f t="shared" si="15"/>
        <v>2.9E-5</v>
      </c>
      <c r="U161" s="109"/>
    </row>
    <row r="162" spans="2:24" outlineLevel="2" x14ac:dyDescent="0.2">
      <c r="B162" s="86"/>
      <c r="C162" s="86"/>
      <c r="D162" s="86"/>
      <c r="E162" s="86"/>
    </row>
    <row r="163" spans="2:24" outlineLevel="2" x14ac:dyDescent="0.2">
      <c r="B163" s="86" t="s">
        <v>21</v>
      </c>
      <c r="C163" s="86"/>
      <c r="D163" s="86"/>
      <c r="E163" s="86"/>
    </row>
    <row r="164" spans="2:24" outlineLevel="2" x14ac:dyDescent="0.2">
      <c r="B164" s="87" t="s">
        <v>92</v>
      </c>
      <c r="C164" s="87"/>
      <c r="D164" s="87"/>
      <c r="E164" s="87"/>
      <c r="F164" s="17" t="s">
        <v>6</v>
      </c>
      <c r="G164" s="24">
        <v>2006</v>
      </c>
      <c r="H164" s="24">
        <v>2007</v>
      </c>
      <c r="I164" s="24">
        <v>2008</v>
      </c>
      <c r="J164" s="24">
        <v>2009</v>
      </c>
      <c r="K164" s="24">
        <v>2010</v>
      </c>
      <c r="L164" s="24">
        <v>2011</v>
      </c>
      <c r="M164" s="24">
        <v>2012</v>
      </c>
      <c r="N164" s="24">
        <v>2013</v>
      </c>
      <c r="O164" s="24">
        <v>2014</v>
      </c>
      <c r="P164" s="24">
        <v>2015</v>
      </c>
      <c r="Q164" s="24">
        <v>2016</v>
      </c>
      <c r="R164" s="24">
        <v>2017</v>
      </c>
      <c r="S164" s="24">
        <v>2018</v>
      </c>
      <c r="T164" s="24">
        <v>2019</v>
      </c>
      <c r="U164" s="24">
        <v>2020</v>
      </c>
    </row>
    <row r="165" spans="2:24" outlineLevel="2" x14ac:dyDescent="0.2">
      <c r="B165" s="82" t="s">
        <v>95</v>
      </c>
      <c r="C165" s="82"/>
      <c r="D165" s="82"/>
      <c r="E165" s="82"/>
      <c r="F165" s="94" t="s">
        <v>52</v>
      </c>
      <c r="G165" s="107"/>
      <c r="H165" s="107"/>
      <c r="I165" s="107"/>
      <c r="J165" s="107"/>
      <c r="K165" s="107"/>
      <c r="L165" s="108">
        <f t="shared" ref="L165:L185" si="16">+M165</f>
        <v>4.6999999999999999E-4</v>
      </c>
      <c r="M165" s="107">
        <v>4.6999999999999999E-4</v>
      </c>
      <c r="N165" s="107">
        <v>4.6999999999999999E-4</v>
      </c>
      <c r="O165" s="107">
        <v>4.6999999999999999E-4</v>
      </c>
      <c r="P165" s="107">
        <v>4.6999999999999999E-4</v>
      </c>
      <c r="Q165" s="107">
        <v>4.6999999999999999E-4</v>
      </c>
      <c r="R165" s="107">
        <f t="shared" ref="R165:T185" si="17">+Q165</f>
        <v>4.6999999999999999E-4</v>
      </c>
      <c r="S165" s="107">
        <f t="shared" si="17"/>
        <v>4.6999999999999999E-4</v>
      </c>
      <c r="T165" s="107">
        <f t="shared" si="17"/>
        <v>4.6999999999999999E-4</v>
      </c>
      <c r="U165" s="107"/>
    </row>
    <row r="166" spans="2:24" outlineLevel="2" x14ac:dyDescent="0.2">
      <c r="B166" s="39" t="s">
        <v>95</v>
      </c>
      <c r="F166" s="82" t="s">
        <v>51</v>
      </c>
      <c r="G166" s="109"/>
      <c r="H166" s="109"/>
      <c r="I166" s="109"/>
      <c r="J166" s="109"/>
      <c r="K166" s="109"/>
      <c r="L166" s="110">
        <f t="shared" si="16"/>
        <v>2.2000000000000001E-4</v>
      </c>
      <c r="M166" s="109">
        <v>2.2000000000000001E-4</v>
      </c>
      <c r="N166" s="109">
        <v>2.2000000000000001E-4</v>
      </c>
      <c r="O166" s="109">
        <v>2.2000000000000001E-4</v>
      </c>
      <c r="P166" s="109">
        <v>2.2000000000000001E-4</v>
      </c>
      <c r="Q166" s="109">
        <v>2.2000000000000001E-4</v>
      </c>
      <c r="R166" s="109">
        <f t="shared" si="17"/>
        <v>2.2000000000000001E-4</v>
      </c>
      <c r="S166" s="109">
        <f t="shared" si="17"/>
        <v>2.2000000000000001E-4</v>
      </c>
      <c r="T166" s="109">
        <f t="shared" si="17"/>
        <v>2.2000000000000001E-4</v>
      </c>
      <c r="U166" s="109"/>
    </row>
    <row r="167" spans="2:24" outlineLevel="2" x14ac:dyDescent="0.2">
      <c r="B167" s="39" t="s">
        <v>95</v>
      </c>
      <c r="F167" s="82" t="s">
        <v>105</v>
      </c>
      <c r="G167" s="109"/>
      <c r="H167" s="109"/>
      <c r="I167" s="109"/>
      <c r="J167" s="109"/>
      <c r="K167" s="109"/>
      <c r="L167" s="110">
        <f t="shared" si="16"/>
        <v>2.8E-5</v>
      </c>
      <c r="M167" s="109">
        <v>2.8E-5</v>
      </c>
      <c r="N167" s="109">
        <v>2.8E-5</v>
      </c>
      <c r="O167" s="109">
        <v>2.8E-5</v>
      </c>
      <c r="P167" s="109">
        <v>2.8E-5</v>
      </c>
      <c r="Q167" s="109">
        <v>2.8E-5</v>
      </c>
      <c r="R167" s="109">
        <f t="shared" si="17"/>
        <v>2.8E-5</v>
      </c>
      <c r="S167" s="109">
        <f t="shared" si="17"/>
        <v>2.8E-5</v>
      </c>
      <c r="T167" s="109">
        <f t="shared" si="17"/>
        <v>2.8E-5</v>
      </c>
      <c r="U167" s="109"/>
    </row>
    <row r="168" spans="2:24" outlineLevel="2" x14ac:dyDescent="0.2">
      <c r="B168" s="39" t="s">
        <v>95</v>
      </c>
      <c r="F168" s="82" t="s">
        <v>106</v>
      </c>
      <c r="G168" s="109"/>
      <c r="H168" s="109"/>
      <c r="I168" s="109"/>
      <c r="J168" s="109"/>
      <c r="K168" s="109"/>
      <c r="L168" s="110">
        <f t="shared" si="16"/>
        <v>8.6000000000000003E-5</v>
      </c>
      <c r="M168" s="109">
        <v>8.6000000000000003E-5</v>
      </c>
      <c r="N168" s="109">
        <v>8.6000000000000003E-5</v>
      </c>
      <c r="O168" s="109">
        <v>8.6000000000000003E-5</v>
      </c>
      <c r="P168" s="109">
        <v>8.6000000000000003E-5</v>
      </c>
      <c r="Q168" s="109">
        <v>8.6000000000000003E-5</v>
      </c>
      <c r="R168" s="109">
        <f t="shared" si="17"/>
        <v>8.6000000000000003E-5</v>
      </c>
      <c r="S168" s="109">
        <f t="shared" si="17"/>
        <v>8.6000000000000003E-5</v>
      </c>
      <c r="T168" s="109">
        <f t="shared" si="17"/>
        <v>8.6000000000000003E-5</v>
      </c>
      <c r="U168" s="109"/>
    </row>
    <row r="169" spans="2:24" outlineLevel="2" x14ac:dyDescent="0.2">
      <c r="B169" s="59" t="s">
        <v>96</v>
      </c>
      <c r="C169" s="59"/>
      <c r="D169" s="59"/>
      <c r="E169" s="59"/>
      <c r="F169" s="59" t="s">
        <v>52</v>
      </c>
      <c r="G169" s="111"/>
      <c r="H169" s="111"/>
      <c r="I169" s="111"/>
      <c r="J169" s="111"/>
      <c r="K169" s="111"/>
      <c r="L169" s="112">
        <f t="shared" si="16"/>
        <v>5.8E-4</v>
      </c>
      <c r="M169" s="111">
        <v>5.8E-4</v>
      </c>
      <c r="N169" s="111">
        <v>5.8E-4</v>
      </c>
      <c r="O169" s="111">
        <v>5.8E-4</v>
      </c>
      <c r="P169" s="111">
        <v>5.8E-4</v>
      </c>
      <c r="Q169" s="111">
        <v>5.8E-4</v>
      </c>
      <c r="R169" s="111">
        <f t="shared" si="17"/>
        <v>5.8E-4</v>
      </c>
      <c r="S169" s="111">
        <f t="shared" si="17"/>
        <v>5.8E-4</v>
      </c>
      <c r="T169" s="111">
        <f t="shared" si="17"/>
        <v>5.8E-4</v>
      </c>
      <c r="U169" s="111"/>
    </row>
    <row r="170" spans="2:24" outlineLevel="2" x14ac:dyDescent="0.2">
      <c r="B170" s="59" t="s">
        <v>96</v>
      </c>
      <c r="C170" s="59"/>
      <c r="D170" s="59"/>
      <c r="E170" s="59"/>
      <c r="F170" s="59" t="s">
        <v>51</v>
      </c>
      <c r="G170" s="111"/>
      <c r="H170" s="111"/>
      <c r="I170" s="111"/>
      <c r="J170" s="111"/>
      <c r="K170" s="111"/>
      <c r="L170" s="112">
        <f t="shared" si="16"/>
        <v>2.2000000000000001E-4</v>
      </c>
      <c r="M170" s="111">
        <v>2.2000000000000001E-4</v>
      </c>
      <c r="N170" s="111">
        <v>2.2000000000000001E-4</v>
      </c>
      <c r="O170" s="111">
        <v>2.2000000000000001E-4</v>
      </c>
      <c r="P170" s="111">
        <v>2.2000000000000001E-4</v>
      </c>
      <c r="Q170" s="111">
        <v>2.2000000000000001E-4</v>
      </c>
      <c r="R170" s="111">
        <f t="shared" si="17"/>
        <v>2.2000000000000001E-4</v>
      </c>
      <c r="S170" s="111">
        <f t="shared" si="17"/>
        <v>2.2000000000000001E-4</v>
      </c>
      <c r="T170" s="111">
        <f t="shared" si="17"/>
        <v>2.2000000000000001E-4</v>
      </c>
      <c r="U170" s="111"/>
    </row>
    <row r="171" spans="2:24" outlineLevel="2" x14ac:dyDescent="0.2">
      <c r="B171" s="59" t="s">
        <v>96</v>
      </c>
      <c r="C171" s="59"/>
      <c r="D171" s="59"/>
      <c r="E171" s="59"/>
      <c r="F171" s="59" t="s">
        <v>105</v>
      </c>
      <c r="G171" s="113"/>
      <c r="H171" s="113"/>
      <c r="I171" s="113"/>
      <c r="J171" s="113"/>
      <c r="K171" s="113"/>
      <c r="L171" s="114">
        <f t="shared" si="16"/>
        <v>2.8E-5</v>
      </c>
      <c r="M171" s="113">
        <v>2.8E-5</v>
      </c>
      <c r="N171" s="113">
        <v>2.8E-5</v>
      </c>
      <c r="O171" s="113">
        <v>2.8E-5</v>
      </c>
      <c r="P171" s="113">
        <v>2.8E-5</v>
      </c>
      <c r="Q171" s="113">
        <v>2.8E-5</v>
      </c>
      <c r="R171" s="113">
        <f t="shared" si="17"/>
        <v>2.8E-5</v>
      </c>
      <c r="S171" s="113">
        <f t="shared" si="17"/>
        <v>2.8E-5</v>
      </c>
      <c r="T171" s="113">
        <f t="shared" si="17"/>
        <v>2.8E-5</v>
      </c>
      <c r="U171" s="113"/>
    </row>
    <row r="172" spans="2:24" outlineLevel="2" x14ac:dyDescent="0.2">
      <c r="B172" s="59" t="s">
        <v>96</v>
      </c>
      <c r="C172" s="59"/>
      <c r="D172" s="59"/>
      <c r="E172" s="59"/>
      <c r="F172" s="59" t="s">
        <v>106</v>
      </c>
      <c r="G172" s="113"/>
      <c r="H172" s="113"/>
      <c r="I172" s="113"/>
      <c r="J172" s="113"/>
      <c r="K172" s="113"/>
      <c r="L172" s="114">
        <f t="shared" si="16"/>
        <v>8.6000000000000003E-5</v>
      </c>
      <c r="M172" s="113">
        <v>8.6000000000000003E-5</v>
      </c>
      <c r="N172" s="113">
        <v>8.6000000000000003E-5</v>
      </c>
      <c r="O172" s="113">
        <v>8.6000000000000003E-5</v>
      </c>
      <c r="P172" s="113">
        <v>8.6000000000000003E-5</v>
      </c>
      <c r="Q172" s="113">
        <v>8.6000000000000003E-5</v>
      </c>
      <c r="R172" s="113">
        <f t="shared" si="17"/>
        <v>8.6000000000000003E-5</v>
      </c>
      <c r="S172" s="113">
        <f t="shared" si="17"/>
        <v>8.6000000000000003E-5</v>
      </c>
      <c r="T172" s="113">
        <f t="shared" si="17"/>
        <v>8.6000000000000003E-5</v>
      </c>
      <c r="U172" s="113"/>
    </row>
    <row r="173" spans="2:24" outlineLevel="2" x14ac:dyDescent="0.2">
      <c r="B173" s="39" t="s">
        <v>97</v>
      </c>
      <c r="F173" s="94" t="s">
        <v>52</v>
      </c>
      <c r="G173" s="107"/>
      <c r="H173" s="107"/>
      <c r="I173" s="107"/>
      <c r="J173" s="107"/>
      <c r="K173" s="107"/>
      <c r="L173" s="108">
        <f t="shared" si="16"/>
        <v>2.0000000000000001E-4</v>
      </c>
      <c r="M173" s="107">
        <v>2.0000000000000001E-4</v>
      </c>
      <c r="N173" s="107">
        <v>2.0000000000000001E-4</v>
      </c>
      <c r="O173" s="107">
        <v>2.0000000000000001E-4</v>
      </c>
      <c r="P173" s="107">
        <v>2.0000000000000001E-4</v>
      </c>
      <c r="Q173" s="107">
        <v>2.0000000000000001E-4</v>
      </c>
      <c r="R173" s="107">
        <f t="shared" si="17"/>
        <v>2.0000000000000001E-4</v>
      </c>
      <c r="S173" s="107">
        <f t="shared" si="17"/>
        <v>2.0000000000000001E-4</v>
      </c>
      <c r="T173" s="107">
        <f t="shared" si="17"/>
        <v>2.0000000000000001E-4</v>
      </c>
      <c r="U173" s="107"/>
    </row>
    <row r="174" spans="2:24" outlineLevel="2" x14ac:dyDescent="0.2">
      <c r="B174" s="39" t="s">
        <v>97</v>
      </c>
      <c r="F174" s="82" t="s">
        <v>51</v>
      </c>
      <c r="G174" s="109"/>
      <c r="H174" s="109"/>
      <c r="I174" s="109"/>
      <c r="J174" s="109"/>
      <c r="K174" s="109"/>
      <c r="L174" s="110">
        <f t="shared" si="16"/>
        <v>1.5100000000000001E-4</v>
      </c>
      <c r="M174" s="109">
        <v>1.5100000000000001E-4</v>
      </c>
      <c r="N174" s="109">
        <v>1.5100000000000001E-4</v>
      </c>
      <c r="O174" s="109">
        <v>1.5100000000000001E-4</v>
      </c>
      <c r="P174" s="109">
        <v>1.5100000000000001E-4</v>
      </c>
      <c r="Q174" s="109">
        <v>1.5100000000000001E-4</v>
      </c>
      <c r="R174" s="109">
        <f t="shared" si="17"/>
        <v>1.5100000000000001E-4</v>
      </c>
      <c r="S174" s="109">
        <f t="shared" si="17"/>
        <v>1.5100000000000001E-4</v>
      </c>
      <c r="T174" s="109">
        <f t="shared" si="17"/>
        <v>1.5100000000000001E-4</v>
      </c>
      <c r="U174" s="109"/>
    </row>
    <row r="175" spans="2:24" outlineLevel="2" x14ac:dyDescent="0.2">
      <c r="B175" s="39" t="s">
        <v>97</v>
      </c>
      <c r="F175" s="94" t="s">
        <v>106</v>
      </c>
      <c r="G175" s="109"/>
      <c r="H175" s="109"/>
      <c r="I175" s="109"/>
      <c r="J175" s="109"/>
      <c r="K175" s="109"/>
      <c r="L175" s="110">
        <f t="shared" si="16"/>
        <v>8.6000000000000003E-5</v>
      </c>
      <c r="M175" s="110">
        <f>+M168</f>
        <v>8.6000000000000003E-5</v>
      </c>
      <c r="N175" s="110">
        <f>+N168</f>
        <v>8.6000000000000003E-5</v>
      </c>
      <c r="O175" s="109">
        <v>8.6000000000000003E-5</v>
      </c>
      <c r="P175" s="109">
        <v>8.6000000000000003E-5</v>
      </c>
      <c r="Q175" s="109">
        <v>8.6000000000000003E-5</v>
      </c>
      <c r="R175" s="109">
        <f t="shared" si="17"/>
        <v>8.6000000000000003E-5</v>
      </c>
      <c r="S175" s="109">
        <f t="shared" si="17"/>
        <v>8.6000000000000003E-5</v>
      </c>
      <c r="T175" s="109">
        <f t="shared" si="17"/>
        <v>8.6000000000000003E-5</v>
      </c>
      <c r="U175" s="109"/>
      <c r="W175" s="39">
        <f>+R175/$F$94</f>
        <v>5.8823529411764708E-5</v>
      </c>
      <c r="X175" s="115">
        <f>+W175*298</f>
        <v>1.7529411764705884E-2</v>
      </c>
    </row>
    <row r="176" spans="2:24" outlineLevel="2" x14ac:dyDescent="0.2">
      <c r="B176" s="59" t="s">
        <v>98</v>
      </c>
      <c r="C176" s="59"/>
      <c r="D176" s="59"/>
      <c r="E176" s="59"/>
      <c r="F176" s="59" t="s">
        <v>52</v>
      </c>
      <c r="G176" s="111"/>
      <c r="H176" s="111"/>
      <c r="I176" s="111"/>
      <c r="J176" s="111"/>
      <c r="K176" s="111"/>
      <c r="L176" s="112">
        <f t="shared" si="16"/>
        <v>4.1E-5</v>
      </c>
      <c r="M176" s="111">
        <v>4.1E-5</v>
      </c>
      <c r="N176" s="111">
        <v>4.1E-5</v>
      </c>
      <c r="O176" s="111">
        <v>4.1E-5</v>
      </c>
      <c r="P176" s="111">
        <v>4.1E-5</v>
      </c>
      <c r="Q176" s="111">
        <v>4.1E-5</v>
      </c>
      <c r="R176" s="111">
        <f t="shared" si="17"/>
        <v>4.1E-5</v>
      </c>
      <c r="S176" s="111">
        <f t="shared" si="17"/>
        <v>4.1E-5</v>
      </c>
      <c r="T176" s="111">
        <f t="shared" si="17"/>
        <v>4.1E-5</v>
      </c>
      <c r="U176" s="111"/>
    </row>
    <row r="177" spans="2:21" outlineLevel="2" x14ac:dyDescent="0.2">
      <c r="B177" s="14" t="s">
        <v>99</v>
      </c>
      <c r="C177" s="14"/>
      <c r="D177" s="14"/>
      <c r="E177" s="14"/>
      <c r="F177" s="94" t="s">
        <v>52</v>
      </c>
      <c r="G177" s="107"/>
      <c r="H177" s="107"/>
      <c r="I177" s="107"/>
      <c r="J177" s="107"/>
      <c r="K177" s="107"/>
      <c r="L177" s="108">
        <f t="shared" si="16"/>
        <v>5.0000000000000002E-5</v>
      </c>
      <c r="M177" s="107">
        <v>5.0000000000000002E-5</v>
      </c>
      <c r="N177" s="107">
        <v>5.0000000000000002E-5</v>
      </c>
      <c r="O177" s="107">
        <v>5.0000000000000002E-5</v>
      </c>
      <c r="P177" s="107">
        <v>5.0000000000000002E-5</v>
      </c>
      <c r="Q177" s="107">
        <v>5.0000000000000002E-5</v>
      </c>
      <c r="R177" s="107">
        <f t="shared" si="17"/>
        <v>5.0000000000000002E-5</v>
      </c>
      <c r="S177" s="107">
        <f t="shared" si="17"/>
        <v>5.0000000000000002E-5</v>
      </c>
      <c r="T177" s="107">
        <f t="shared" si="17"/>
        <v>5.0000000000000002E-5</v>
      </c>
      <c r="U177" s="107"/>
    </row>
    <row r="178" spans="2:21" outlineLevel="2" x14ac:dyDescent="0.2">
      <c r="B178" s="14" t="s">
        <v>99</v>
      </c>
      <c r="C178" s="14"/>
      <c r="D178" s="14"/>
      <c r="E178" s="14"/>
      <c r="F178" s="82" t="s">
        <v>51</v>
      </c>
      <c r="G178" s="109"/>
      <c r="H178" s="109"/>
      <c r="I178" s="109"/>
      <c r="J178" s="109"/>
      <c r="K178" s="109"/>
      <c r="L178" s="110">
        <f t="shared" si="16"/>
        <v>1.1000000000000001E-3</v>
      </c>
      <c r="M178" s="109">
        <v>1.1000000000000001E-3</v>
      </c>
      <c r="N178" s="109">
        <v>1.1000000000000001E-3</v>
      </c>
      <c r="O178" s="109">
        <v>1.1000000000000001E-3</v>
      </c>
      <c r="P178" s="109">
        <v>1.1000000000000001E-3</v>
      </c>
      <c r="Q178" s="109">
        <v>1.1000000000000001E-3</v>
      </c>
      <c r="R178" s="109">
        <f t="shared" si="17"/>
        <v>1.1000000000000001E-3</v>
      </c>
      <c r="S178" s="109">
        <f t="shared" si="17"/>
        <v>1.1000000000000001E-3</v>
      </c>
      <c r="T178" s="109">
        <f t="shared" si="17"/>
        <v>1.1000000000000001E-3</v>
      </c>
      <c r="U178" s="109"/>
    </row>
    <row r="179" spans="2:21" outlineLevel="2" x14ac:dyDescent="0.2">
      <c r="B179" s="14" t="s">
        <v>99</v>
      </c>
      <c r="C179" s="14"/>
      <c r="D179" s="14"/>
      <c r="E179" s="14"/>
      <c r="F179" s="94" t="s">
        <v>105</v>
      </c>
      <c r="G179" s="109"/>
      <c r="H179" s="109"/>
      <c r="I179" s="109"/>
      <c r="J179" s="109"/>
      <c r="K179" s="109"/>
      <c r="L179" s="110">
        <f t="shared" si="16"/>
        <v>2.8E-5</v>
      </c>
      <c r="M179" s="110">
        <f>+M167</f>
        <v>2.8E-5</v>
      </c>
      <c r="N179" s="110">
        <f>+N167</f>
        <v>2.8E-5</v>
      </c>
      <c r="O179" s="109">
        <v>2.8E-5</v>
      </c>
      <c r="P179" s="109">
        <v>2.8E-5</v>
      </c>
      <c r="Q179" s="110">
        <f>+Q167</f>
        <v>2.8E-5</v>
      </c>
      <c r="R179" s="109">
        <f t="shared" si="17"/>
        <v>2.8E-5</v>
      </c>
      <c r="S179" s="109">
        <f t="shared" si="17"/>
        <v>2.8E-5</v>
      </c>
      <c r="T179" s="109">
        <f t="shared" si="17"/>
        <v>2.8E-5</v>
      </c>
      <c r="U179" s="109"/>
    </row>
    <row r="180" spans="2:21" outlineLevel="2" x14ac:dyDescent="0.2">
      <c r="B180" s="14" t="s">
        <v>99</v>
      </c>
      <c r="C180" s="14"/>
      <c r="D180" s="14"/>
      <c r="E180" s="14"/>
      <c r="F180" s="94" t="s">
        <v>106</v>
      </c>
      <c r="G180" s="109"/>
      <c r="H180" s="109"/>
      <c r="I180" s="109"/>
      <c r="J180" s="109"/>
      <c r="K180" s="109"/>
      <c r="L180" s="110">
        <f t="shared" si="16"/>
        <v>8.6000000000000003E-5</v>
      </c>
      <c r="M180" s="110">
        <f>+M168</f>
        <v>8.6000000000000003E-5</v>
      </c>
      <c r="N180" s="110">
        <f>+N168</f>
        <v>8.6000000000000003E-5</v>
      </c>
      <c r="O180" s="109">
        <v>8.6000000000000003E-5</v>
      </c>
      <c r="P180" s="109">
        <v>8.6000000000000003E-5</v>
      </c>
      <c r="Q180" s="109">
        <v>8.6000000000000003E-5</v>
      </c>
      <c r="R180" s="109">
        <f t="shared" si="17"/>
        <v>8.6000000000000003E-5</v>
      </c>
      <c r="S180" s="109">
        <f t="shared" si="17"/>
        <v>8.6000000000000003E-5</v>
      </c>
      <c r="T180" s="109">
        <f t="shared" si="17"/>
        <v>8.6000000000000003E-5</v>
      </c>
      <c r="U180" s="109"/>
    </row>
    <row r="181" spans="2:21" outlineLevel="2" x14ac:dyDescent="0.2">
      <c r="B181" s="59" t="s">
        <v>100</v>
      </c>
      <c r="C181" s="59"/>
      <c r="D181" s="59"/>
      <c r="E181" s="59"/>
      <c r="F181" s="59" t="s">
        <v>52</v>
      </c>
      <c r="G181" s="111"/>
      <c r="H181" s="111"/>
      <c r="I181" s="111"/>
      <c r="J181" s="111"/>
      <c r="K181" s="111"/>
      <c r="L181" s="112">
        <f t="shared" si="16"/>
        <v>6.6000000000000005E-5</v>
      </c>
      <c r="M181" s="111">
        <v>6.6000000000000005E-5</v>
      </c>
      <c r="N181" s="111">
        <v>6.6000000000000005E-5</v>
      </c>
      <c r="O181" s="111">
        <v>6.6000000000000005E-5</v>
      </c>
      <c r="P181" s="111">
        <v>6.6000000000000005E-5</v>
      </c>
      <c r="Q181" s="111">
        <v>6.6000000000000005E-5</v>
      </c>
      <c r="R181" s="111">
        <f t="shared" si="17"/>
        <v>6.6000000000000005E-5</v>
      </c>
      <c r="S181" s="111">
        <f t="shared" si="17"/>
        <v>6.6000000000000005E-5</v>
      </c>
      <c r="T181" s="111">
        <f t="shared" si="17"/>
        <v>6.6000000000000005E-5</v>
      </c>
      <c r="U181" s="111"/>
    </row>
    <row r="182" spans="2:21" outlineLevel="2" x14ac:dyDescent="0.2">
      <c r="B182" s="59" t="s">
        <v>100</v>
      </c>
      <c r="C182" s="59"/>
      <c r="D182" s="59"/>
      <c r="E182" s="59"/>
      <c r="F182" s="59" t="s">
        <v>51</v>
      </c>
      <c r="G182" s="111"/>
      <c r="H182" s="111"/>
      <c r="I182" s="111"/>
      <c r="J182" s="111"/>
      <c r="K182" s="111"/>
      <c r="L182" s="112">
        <f t="shared" si="16"/>
        <v>1.1000000000000001E-3</v>
      </c>
      <c r="M182" s="111">
        <v>1.1000000000000001E-3</v>
      </c>
      <c r="N182" s="111">
        <v>1.1000000000000001E-3</v>
      </c>
      <c r="O182" s="111">
        <v>1.1000000000000001E-3</v>
      </c>
      <c r="P182" s="111">
        <v>1.1000000000000001E-3</v>
      </c>
      <c r="Q182" s="111">
        <v>1.1000000000000001E-3</v>
      </c>
      <c r="R182" s="111">
        <f t="shared" si="17"/>
        <v>1.1000000000000001E-3</v>
      </c>
      <c r="S182" s="111">
        <f t="shared" si="17"/>
        <v>1.1000000000000001E-3</v>
      </c>
      <c r="T182" s="111">
        <f t="shared" si="17"/>
        <v>1.1000000000000001E-3</v>
      </c>
      <c r="U182" s="111"/>
    </row>
    <row r="183" spans="2:21" outlineLevel="2" x14ac:dyDescent="0.2">
      <c r="B183" s="59" t="s">
        <v>100</v>
      </c>
      <c r="C183" s="59"/>
      <c r="D183" s="59"/>
      <c r="E183" s="59"/>
      <c r="F183" s="59" t="s">
        <v>105</v>
      </c>
      <c r="G183" s="113"/>
      <c r="H183" s="113"/>
      <c r="I183" s="113"/>
      <c r="J183" s="113"/>
      <c r="K183" s="113"/>
      <c r="L183" s="114">
        <f t="shared" si="16"/>
        <v>2.8E-5</v>
      </c>
      <c r="M183" s="114">
        <f>+M167</f>
        <v>2.8E-5</v>
      </c>
      <c r="N183" s="114">
        <f>+N167</f>
        <v>2.8E-5</v>
      </c>
      <c r="O183" s="113">
        <v>2.8E-5</v>
      </c>
      <c r="P183" s="113">
        <v>2.8E-5</v>
      </c>
      <c r="Q183" s="114">
        <f>+Q167</f>
        <v>2.8E-5</v>
      </c>
      <c r="R183" s="113">
        <f t="shared" si="17"/>
        <v>2.8E-5</v>
      </c>
      <c r="S183" s="113">
        <f t="shared" si="17"/>
        <v>2.8E-5</v>
      </c>
      <c r="T183" s="113">
        <f t="shared" si="17"/>
        <v>2.8E-5</v>
      </c>
      <c r="U183" s="113"/>
    </row>
    <row r="184" spans="2:21" outlineLevel="2" x14ac:dyDescent="0.2">
      <c r="B184" s="39" t="s">
        <v>107</v>
      </c>
      <c r="F184" s="94" t="s">
        <v>52</v>
      </c>
      <c r="G184" s="109"/>
      <c r="H184" s="109"/>
      <c r="I184" s="109"/>
      <c r="J184" s="109"/>
      <c r="K184" s="109"/>
      <c r="L184" s="110">
        <f t="shared" si="16"/>
        <v>2.3000000000000001E-4</v>
      </c>
      <c r="M184" s="109">
        <v>2.3000000000000001E-4</v>
      </c>
      <c r="N184" s="109">
        <v>2.3000000000000001E-4</v>
      </c>
      <c r="O184" s="109">
        <v>2.3000000000000001E-4</v>
      </c>
      <c r="P184" s="109">
        <v>2.3000000000000001E-4</v>
      </c>
      <c r="Q184" s="109">
        <v>2.3000000000000001E-4</v>
      </c>
      <c r="R184" s="109">
        <f t="shared" si="17"/>
        <v>2.3000000000000001E-4</v>
      </c>
      <c r="S184" s="109">
        <f t="shared" si="17"/>
        <v>2.3000000000000001E-4</v>
      </c>
      <c r="T184" s="109">
        <f t="shared" si="17"/>
        <v>2.3000000000000001E-4</v>
      </c>
      <c r="U184" s="109"/>
    </row>
    <row r="185" spans="2:21" outlineLevel="2" x14ac:dyDescent="0.2">
      <c r="B185" s="39" t="s">
        <v>107</v>
      </c>
      <c r="F185" s="82" t="s">
        <v>51</v>
      </c>
      <c r="G185" s="109"/>
      <c r="H185" s="109"/>
      <c r="I185" s="109"/>
      <c r="J185" s="109"/>
      <c r="K185" s="109"/>
      <c r="L185" s="110">
        <f t="shared" si="16"/>
        <v>7.1000000000000005E-5</v>
      </c>
      <c r="M185" s="109">
        <v>7.1000000000000005E-5</v>
      </c>
      <c r="N185" s="109">
        <v>7.1000000000000005E-5</v>
      </c>
      <c r="O185" s="109">
        <v>7.1000000000000005E-5</v>
      </c>
      <c r="P185" s="109">
        <v>7.1000000000000005E-5</v>
      </c>
      <c r="Q185" s="109">
        <v>7.1000000000000005E-5</v>
      </c>
      <c r="R185" s="109">
        <f t="shared" si="17"/>
        <v>7.1000000000000005E-5</v>
      </c>
      <c r="S185" s="109">
        <f t="shared" si="17"/>
        <v>7.1000000000000005E-5</v>
      </c>
      <c r="T185" s="109">
        <f t="shared" si="17"/>
        <v>7.1000000000000005E-5</v>
      </c>
      <c r="U185" s="109"/>
    </row>
    <row r="186" spans="2:21" outlineLevel="2" x14ac:dyDescent="0.2">
      <c r="B186" s="86"/>
      <c r="C186" s="86"/>
      <c r="D186" s="86"/>
      <c r="E186" s="86"/>
    </row>
    <row r="187" spans="2:21" outlineLevel="2" x14ac:dyDescent="0.2">
      <c r="B187" s="86"/>
      <c r="C187" s="86"/>
      <c r="D187" s="86"/>
      <c r="E187" s="86"/>
    </row>
    <row r="188" spans="2:21" outlineLevel="1" x14ac:dyDescent="0.2">
      <c r="B188" s="86" t="s">
        <v>108</v>
      </c>
      <c r="C188" s="86"/>
      <c r="D188" s="86"/>
      <c r="E188" s="86"/>
    </row>
    <row r="189" spans="2:21" outlineLevel="1" x14ac:dyDescent="0.2">
      <c r="B189" s="17" t="s">
        <v>109</v>
      </c>
      <c r="C189" s="17" t="s">
        <v>6</v>
      </c>
      <c r="D189" s="17" t="s">
        <v>110</v>
      </c>
      <c r="E189" s="116" t="s">
        <v>111</v>
      </c>
      <c r="F189" s="116" t="s">
        <v>112</v>
      </c>
      <c r="G189" s="24">
        <v>2006</v>
      </c>
      <c r="H189" s="24">
        <v>2007</v>
      </c>
      <c r="I189" s="24">
        <v>2008</v>
      </c>
      <c r="J189" s="24">
        <v>2009</v>
      </c>
      <c r="K189" s="24">
        <v>2010</v>
      </c>
      <c r="L189" s="24">
        <v>2011</v>
      </c>
      <c r="M189" s="24">
        <v>2012</v>
      </c>
      <c r="N189" s="24">
        <v>2013</v>
      </c>
      <c r="O189" s="24">
        <v>2014</v>
      </c>
      <c r="P189" s="24">
        <v>2015</v>
      </c>
      <c r="Q189" s="24">
        <v>2016</v>
      </c>
      <c r="R189" s="24">
        <v>2017</v>
      </c>
      <c r="S189" s="24">
        <v>2018</v>
      </c>
      <c r="T189" s="24">
        <v>2019</v>
      </c>
      <c r="U189" s="24">
        <v>2020</v>
      </c>
    </row>
    <row r="190" spans="2:21" outlineLevel="1" x14ac:dyDescent="0.2">
      <c r="B190" s="82" t="s">
        <v>95</v>
      </c>
      <c r="C190" s="94" t="s">
        <v>52</v>
      </c>
      <c r="D190" s="117" t="str">
        <f>+CONCATENATE(B190,C190)</f>
        <v>Light Duty VehicleGasoline</v>
      </c>
      <c r="E190" s="118">
        <v>0.95</v>
      </c>
      <c r="F190" s="118">
        <v>0.05</v>
      </c>
      <c r="G190" s="119"/>
      <c r="H190" s="119"/>
      <c r="I190" s="119"/>
      <c r="J190" s="119"/>
      <c r="K190" s="119"/>
      <c r="L190" s="119">
        <f t="shared" ref="L190:T190" si="18">(($E190*L$115)*$O$6)+(L$141*$O$7)+(L$165*$O$8)</f>
        <v>2.3208099999999998</v>
      </c>
      <c r="M190" s="119">
        <f t="shared" si="18"/>
        <v>2.3208099999999998</v>
      </c>
      <c r="N190" s="119">
        <f t="shared" si="18"/>
        <v>2.3208099999999998</v>
      </c>
      <c r="O190" s="119">
        <f t="shared" si="18"/>
        <v>2.3208099999999998</v>
      </c>
      <c r="P190" s="119">
        <f t="shared" si="18"/>
        <v>2.3208099999999998</v>
      </c>
      <c r="Q190" s="119">
        <f t="shared" si="18"/>
        <v>2.3458100000000002</v>
      </c>
      <c r="R190" s="119">
        <f t="shared" si="18"/>
        <v>2.3458100000000002</v>
      </c>
      <c r="S190" s="119">
        <f t="shared" si="18"/>
        <v>2.3458100000000002</v>
      </c>
      <c r="T190" s="119">
        <f t="shared" si="18"/>
        <v>2.3458100000000002</v>
      </c>
      <c r="U190" s="119"/>
    </row>
    <row r="191" spans="2:21" outlineLevel="1" x14ac:dyDescent="0.2">
      <c r="B191" s="39" t="s">
        <v>95</v>
      </c>
      <c r="C191" s="82" t="s">
        <v>69</v>
      </c>
      <c r="D191" s="120" t="str">
        <f t="shared" ref="D191:D263" si="19">+CONCATENATE(B191,C191)</f>
        <v>Light Duty VehicleD</v>
      </c>
      <c r="E191" s="121">
        <v>0.96</v>
      </c>
      <c r="F191" s="121">
        <v>0.04</v>
      </c>
      <c r="G191" s="119"/>
      <c r="H191" s="119"/>
      <c r="I191" s="119"/>
      <c r="J191" s="119"/>
      <c r="K191" s="119"/>
      <c r="L191" s="119">
        <f t="shared" ref="L191:T191" si="20">(($E191*L$116)*$O$6)+(L$142*$O$7)+(L$166*$O$8)</f>
        <v>2.6228350000000002</v>
      </c>
      <c r="M191" s="119">
        <f t="shared" si="20"/>
        <v>2.6228350000000002</v>
      </c>
      <c r="N191" s="119">
        <f t="shared" si="20"/>
        <v>2.6228350000000002</v>
      </c>
      <c r="O191" s="119">
        <f t="shared" si="20"/>
        <v>2.6228350000000002</v>
      </c>
      <c r="P191" s="119">
        <f t="shared" si="20"/>
        <v>2.6228350000000002</v>
      </c>
      <c r="Q191" s="119">
        <f t="shared" si="20"/>
        <v>2.6488350000000001</v>
      </c>
      <c r="R191" s="119">
        <f t="shared" si="20"/>
        <v>2.6488350000000001</v>
      </c>
      <c r="S191" s="119">
        <f t="shared" si="20"/>
        <v>2.6488350000000001</v>
      </c>
      <c r="T191" s="119">
        <f t="shared" si="20"/>
        <v>2.6488350000000001</v>
      </c>
      <c r="U191" s="119"/>
    </row>
    <row r="192" spans="2:21" outlineLevel="1" x14ac:dyDescent="0.2">
      <c r="B192" s="39" t="s">
        <v>95</v>
      </c>
      <c r="C192" s="82" t="s">
        <v>73</v>
      </c>
      <c r="D192" s="120" t="str">
        <f t="shared" si="19"/>
        <v>Light Duty VehicleP</v>
      </c>
      <c r="E192" s="121">
        <v>1</v>
      </c>
      <c r="F192" s="121">
        <v>0</v>
      </c>
      <c r="G192" s="119"/>
      <c r="H192" s="119"/>
      <c r="I192" s="119"/>
      <c r="J192" s="119"/>
      <c r="K192" s="119"/>
      <c r="L192" s="103">
        <f t="shared" ref="L192:T192" si="21">(L119*$O$6)+(L143*$O$7)+(L167*$O$8)</f>
        <v>1.5343439999999999</v>
      </c>
      <c r="M192" s="103">
        <f t="shared" si="21"/>
        <v>1.5343439999999999</v>
      </c>
      <c r="N192" s="103">
        <f t="shared" si="21"/>
        <v>1.5343439999999999</v>
      </c>
      <c r="O192" s="103">
        <f t="shared" si="21"/>
        <v>1.5313439999999998</v>
      </c>
      <c r="P192" s="103">
        <f t="shared" si="21"/>
        <v>1.5313439999999998</v>
      </c>
      <c r="Q192" s="103">
        <f t="shared" si="21"/>
        <v>1.5393439999999998</v>
      </c>
      <c r="R192" s="103">
        <f t="shared" si="21"/>
        <v>1.5393439999999998</v>
      </c>
      <c r="S192" s="103">
        <f t="shared" si="21"/>
        <v>1.5393439999999998</v>
      </c>
      <c r="T192" s="103">
        <f t="shared" si="21"/>
        <v>1.5393439999999998</v>
      </c>
      <c r="U192" s="119"/>
    </row>
    <row r="193" spans="2:21" outlineLevel="1" x14ac:dyDescent="0.2">
      <c r="B193" s="39" t="s">
        <v>95</v>
      </c>
      <c r="C193" s="82" t="s">
        <v>66</v>
      </c>
      <c r="D193" s="120" t="str">
        <f t="shared" si="19"/>
        <v>Light Duty VehicleCNG</v>
      </c>
      <c r="E193" s="121">
        <v>1</v>
      </c>
      <c r="F193" s="121">
        <v>0</v>
      </c>
      <c r="G193" s="119"/>
      <c r="H193" s="119"/>
      <c r="I193" s="119"/>
      <c r="J193" s="119"/>
      <c r="K193" s="122" t="s">
        <v>113</v>
      </c>
      <c r="L193" s="103">
        <f t="shared" ref="L193:T193" si="22">((L120*$O$6)+(L144*$O$7)+(L168*$O$8))/$F$92</f>
        <v>2.027459102902375</v>
      </c>
      <c r="M193" s="103">
        <f t="shared" si="22"/>
        <v>2.027459102902375</v>
      </c>
      <c r="N193" s="103">
        <f t="shared" si="22"/>
        <v>2.027459102902375</v>
      </c>
      <c r="O193" s="103">
        <f t="shared" si="22"/>
        <v>2.027459102902375</v>
      </c>
      <c r="P193" s="103">
        <f t="shared" si="22"/>
        <v>2.027459102902375</v>
      </c>
      <c r="Q193" s="103">
        <f t="shared" si="22"/>
        <v>2.0373535620052774</v>
      </c>
      <c r="R193" s="103">
        <f t="shared" si="22"/>
        <v>2.0373535620052774</v>
      </c>
      <c r="S193" s="103">
        <f t="shared" si="22"/>
        <v>2.0373535620052774</v>
      </c>
      <c r="T193" s="103">
        <f t="shared" si="22"/>
        <v>2.0373535620052774</v>
      </c>
      <c r="U193" s="119"/>
    </row>
    <row r="194" spans="2:21" outlineLevel="1" x14ac:dyDescent="0.2">
      <c r="B194" s="39" t="s">
        <v>95</v>
      </c>
      <c r="C194" s="82" t="s">
        <v>70</v>
      </c>
      <c r="D194" s="120" t="str">
        <f t="shared" si="19"/>
        <v>Light Duty VehicleE10</v>
      </c>
      <c r="E194" s="121">
        <v>0.9</v>
      </c>
      <c r="F194" s="121">
        <v>9.9999999999999978E-2</v>
      </c>
      <c r="G194" s="119"/>
      <c r="H194" s="119"/>
      <c r="I194" s="119"/>
      <c r="J194" s="119"/>
      <c r="K194" s="123"/>
      <c r="L194" s="119">
        <f t="shared" ref="L194:T194" si="23">(($E194*L$115)*$O$6)+(L$141*$O$7)+(L$165*$O$8)</f>
        <v>2.2063363157894735</v>
      </c>
      <c r="M194" s="119">
        <f t="shared" si="23"/>
        <v>2.2063363157894735</v>
      </c>
      <c r="N194" s="119">
        <f t="shared" si="23"/>
        <v>2.2063363157894735</v>
      </c>
      <c r="O194" s="119">
        <f t="shared" si="23"/>
        <v>2.2063363157894735</v>
      </c>
      <c r="P194" s="119">
        <f t="shared" si="23"/>
        <v>2.2063363157894735</v>
      </c>
      <c r="Q194" s="119">
        <f t="shared" si="23"/>
        <v>2.2300205263157897</v>
      </c>
      <c r="R194" s="119">
        <f t="shared" si="23"/>
        <v>2.2300205263157897</v>
      </c>
      <c r="S194" s="119">
        <f t="shared" si="23"/>
        <v>2.2300205263157897</v>
      </c>
      <c r="T194" s="119">
        <f t="shared" si="23"/>
        <v>2.2300205263157897</v>
      </c>
      <c r="U194" s="119"/>
    </row>
    <row r="195" spans="2:21" outlineLevel="1" x14ac:dyDescent="0.2">
      <c r="B195" s="39" t="s">
        <v>95</v>
      </c>
      <c r="C195" s="82" t="s">
        <v>65</v>
      </c>
      <c r="D195" s="120" t="str">
        <f t="shared" si="19"/>
        <v>Light Duty VehicleB5</v>
      </c>
      <c r="E195" s="121">
        <v>0.95</v>
      </c>
      <c r="F195" s="121">
        <v>5.0000000000000044E-2</v>
      </c>
      <c r="G195" s="119"/>
      <c r="H195" s="119"/>
      <c r="I195" s="119"/>
      <c r="J195" s="119"/>
      <c r="K195" s="123"/>
      <c r="L195" s="119">
        <f t="shared" ref="L195:T201" si="24">(($E195*L$116)*$O$6)+(L$142*$O$7)+(L$166*$O$8)</f>
        <v>2.5962100000000001</v>
      </c>
      <c r="M195" s="119">
        <f t="shared" si="24"/>
        <v>2.5962100000000001</v>
      </c>
      <c r="N195" s="119">
        <f t="shared" si="24"/>
        <v>2.5962100000000001</v>
      </c>
      <c r="O195" s="119">
        <f t="shared" si="24"/>
        <v>2.5962100000000001</v>
      </c>
      <c r="P195" s="119">
        <f t="shared" si="24"/>
        <v>2.5962100000000001</v>
      </c>
      <c r="Q195" s="119">
        <f t="shared" si="24"/>
        <v>2.6219391666666665</v>
      </c>
      <c r="R195" s="119">
        <f t="shared" si="24"/>
        <v>2.6219391666666665</v>
      </c>
      <c r="S195" s="119">
        <f t="shared" si="24"/>
        <v>2.6219391666666665</v>
      </c>
      <c r="T195" s="119">
        <f t="shared" si="24"/>
        <v>2.6219391666666665</v>
      </c>
      <c r="U195" s="119"/>
    </row>
    <row r="196" spans="2:21" outlineLevel="1" x14ac:dyDescent="0.2">
      <c r="B196" s="39" t="s">
        <v>95</v>
      </c>
      <c r="C196" s="82" t="s">
        <v>114</v>
      </c>
      <c r="D196" s="120" t="str">
        <f t="shared" si="19"/>
        <v>Light Duty VehicleB10</v>
      </c>
      <c r="E196" s="121">
        <v>0.9</v>
      </c>
      <c r="F196" s="121">
        <v>9.9999999999999978E-2</v>
      </c>
      <c r="G196" s="119"/>
      <c r="H196" s="119"/>
      <c r="I196" s="119"/>
      <c r="J196" s="119"/>
      <c r="K196" s="123"/>
      <c r="L196" s="119">
        <f t="shared" si="24"/>
        <v>2.4630850000000004</v>
      </c>
      <c r="M196" s="119">
        <f t="shared" si="24"/>
        <v>2.4630850000000004</v>
      </c>
      <c r="N196" s="119">
        <f t="shared" si="24"/>
        <v>2.4630850000000004</v>
      </c>
      <c r="O196" s="119">
        <f t="shared" si="24"/>
        <v>2.4630850000000004</v>
      </c>
      <c r="P196" s="119">
        <f t="shared" si="24"/>
        <v>2.4630850000000004</v>
      </c>
      <c r="Q196" s="119">
        <f t="shared" si="24"/>
        <v>2.48746</v>
      </c>
      <c r="R196" s="119">
        <f t="shared" si="24"/>
        <v>2.48746</v>
      </c>
      <c r="S196" s="119">
        <f t="shared" si="24"/>
        <v>2.48746</v>
      </c>
      <c r="T196" s="119">
        <f t="shared" si="24"/>
        <v>2.48746</v>
      </c>
      <c r="U196" s="119"/>
    </row>
    <row r="197" spans="2:21" outlineLevel="1" x14ac:dyDescent="0.2">
      <c r="B197" s="39" t="s">
        <v>95</v>
      </c>
      <c r="C197" s="82" t="s">
        <v>63</v>
      </c>
      <c r="D197" s="120" t="str">
        <f t="shared" si="19"/>
        <v>Light Duty VehicleB20</v>
      </c>
      <c r="E197" s="121">
        <v>0.8</v>
      </c>
      <c r="F197" s="121">
        <v>0.19999999999999996</v>
      </c>
      <c r="G197" s="119"/>
      <c r="H197" s="119"/>
      <c r="I197" s="119"/>
      <c r="J197" s="119"/>
      <c r="K197" s="123"/>
      <c r="L197" s="119">
        <f t="shared" si="24"/>
        <v>2.1968350000000005</v>
      </c>
      <c r="M197" s="119">
        <f t="shared" si="24"/>
        <v>2.1968350000000005</v>
      </c>
      <c r="N197" s="119">
        <f t="shared" si="24"/>
        <v>2.1968350000000005</v>
      </c>
      <c r="O197" s="119">
        <f t="shared" si="24"/>
        <v>2.1968350000000005</v>
      </c>
      <c r="P197" s="119">
        <f t="shared" si="24"/>
        <v>2.1968350000000005</v>
      </c>
      <c r="Q197" s="119">
        <f t="shared" si="24"/>
        <v>2.218501666666667</v>
      </c>
      <c r="R197" s="119">
        <f t="shared" si="24"/>
        <v>2.218501666666667</v>
      </c>
      <c r="S197" s="119">
        <f t="shared" si="24"/>
        <v>2.218501666666667</v>
      </c>
      <c r="T197" s="119">
        <f t="shared" si="24"/>
        <v>2.218501666666667</v>
      </c>
      <c r="U197" s="119"/>
    </row>
    <row r="198" spans="2:21" outlineLevel="1" x14ac:dyDescent="0.2">
      <c r="B198" s="39" t="s">
        <v>95</v>
      </c>
      <c r="C198" s="82" t="s">
        <v>115</v>
      </c>
      <c r="D198" s="120" t="str">
        <f t="shared" si="19"/>
        <v>Light Duty VehicleB50</v>
      </c>
      <c r="E198" s="121">
        <v>0.5</v>
      </c>
      <c r="F198" s="121">
        <v>0.5</v>
      </c>
      <c r="G198" s="119"/>
      <c r="H198" s="119"/>
      <c r="I198" s="119"/>
      <c r="J198" s="119"/>
      <c r="K198" s="123"/>
      <c r="L198" s="119">
        <f t="shared" si="24"/>
        <v>1.398085</v>
      </c>
      <c r="M198" s="119">
        <f t="shared" si="24"/>
        <v>1.398085</v>
      </c>
      <c r="N198" s="119">
        <f t="shared" si="24"/>
        <v>1.398085</v>
      </c>
      <c r="O198" s="119">
        <f t="shared" si="24"/>
        <v>1.398085</v>
      </c>
      <c r="P198" s="119">
        <f t="shared" si="24"/>
        <v>1.398085</v>
      </c>
      <c r="Q198" s="119">
        <f t="shared" si="24"/>
        <v>1.4116266666666666</v>
      </c>
      <c r="R198" s="119">
        <f t="shared" si="24"/>
        <v>1.4116266666666666</v>
      </c>
      <c r="S198" s="119">
        <f t="shared" si="24"/>
        <v>1.4116266666666666</v>
      </c>
      <c r="T198" s="119">
        <f t="shared" si="24"/>
        <v>1.4116266666666666</v>
      </c>
      <c r="U198" s="119"/>
    </row>
    <row r="199" spans="2:21" outlineLevel="1" x14ac:dyDescent="0.2">
      <c r="B199" s="39" t="s">
        <v>95</v>
      </c>
      <c r="C199" s="82" t="s">
        <v>61</v>
      </c>
      <c r="D199" s="120" t="str">
        <f t="shared" si="19"/>
        <v>Light Duty VehicleB100</v>
      </c>
      <c r="E199" s="121">
        <v>0</v>
      </c>
      <c r="F199" s="121">
        <v>1</v>
      </c>
      <c r="G199" s="119"/>
      <c r="H199" s="119"/>
      <c r="I199" s="119"/>
      <c r="J199" s="119"/>
      <c r="K199" s="123"/>
      <c r="L199" s="119">
        <f t="shared" si="24"/>
        <v>6.6835000000000006E-2</v>
      </c>
      <c r="M199" s="119">
        <f t="shared" si="24"/>
        <v>6.6835000000000006E-2</v>
      </c>
      <c r="N199" s="119">
        <f t="shared" si="24"/>
        <v>6.6835000000000006E-2</v>
      </c>
      <c r="O199" s="119">
        <f t="shared" si="24"/>
        <v>6.6835000000000006E-2</v>
      </c>
      <c r="P199" s="119">
        <f t="shared" si="24"/>
        <v>6.6835000000000006E-2</v>
      </c>
      <c r="Q199" s="119">
        <f t="shared" si="24"/>
        <v>6.6835000000000006E-2</v>
      </c>
      <c r="R199" s="119">
        <f t="shared" si="24"/>
        <v>6.6835000000000006E-2</v>
      </c>
      <c r="S199" s="119">
        <f t="shared" si="24"/>
        <v>6.6835000000000006E-2</v>
      </c>
      <c r="T199" s="119">
        <f t="shared" si="24"/>
        <v>6.6835000000000006E-2</v>
      </c>
      <c r="U199" s="119"/>
    </row>
    <row r="200" spans="2:21" outlineLevel="1" x14ac:dyDescent="0.2">
      <c r="B200" s="39" t="s">
        <v>95</v>
      </c>
      <c r="C200" s="82" t="s">
        <v>104</v>
      </c>
      <c r="D200" s="120" t="str">
        <f t="shared" si="19"/>
        <v>Light Duty VehicleB0</v>
      </c>
      <c r="E200" s="121">
        <v>1</v>
      </c>
      <c r="F200" s="121">
        <v>0</v>
      </c>
      <c r="G200" s="119"/>
      <c r="H200" s="119"/>
      <c r="I200" s="119"/>
      <c r="J200" s="119"/>
      <c r="K200" s="123"/>
      <c r="L200" s="119">
        <f t="shared" si="24"/>
        <v>2.7293350000000003</v>
      </c>
      <c r="M200" s="119">
        <f t="shared" si="24"/>
        <v>2.7293350000000003</v>
      </c>
      <c r="N200" s="119">
        <f t="shared" si="24"/>
        <v>2.7293350000000003</v>
      </c>
      <c r="O200" s="119">
        <f t="shared" si="24"/>
        <v>2.7293350000000003</v>
      </c>
      <c r="P200" s="119">
        <f t="shared" si="24"/>
        <v>2.7293350000000003</v>
      </c>
      <c r="Q200" s="119">
        <f t="shared" si="24"/>
        <v>2.7564183333333334</v>
      </c>
      <c r="R200" s="119">
        <f t="shared" si="24"/>
        <v>2.7564183333333334</v>
      </c>
      <c r="S200" s="119">
        <f t="shared" si="24"/>
        <v>2.7564183333333334</v>
      </c>
      <c r="T200" s="119">
        <f t="shared" si="24"/>
        <v>2.7564183333333334</v>
      </c>
      <c r="U200" s="119"/>
    </row>
    <row r="201" spans="2:21" outlineLevel="1" x14ac:dyDescent="0.2">
      <c r="B201" s="39" t="s">
        <v>95</v>
      </c>
      <c r="C201" s="82" t="s">
        <v>94</v>
      </c>
      <c r="D201" s="120" t="str">
        <f t="shared" si="19"/>
        <v>Light Duty VehicleR100</v>
      </c>
      <c r="E201" s="121">
        <v>0</v>
      </c>
      <c r="F201" s="121">
        <v>1</v>
      </c>
      <c r="G201" s="119"/>
      <c r="H201" s="119"/>
      <c r="I201" s="119"/>
      <c r="J201" s="119"/>
      <c r="K201" s="123"/>
      <c r="L201" s="119">
        <f t="shared" si="24"/>
        <v>6.6835000000000006E-2</v>
      </c>
      <c r="M201" s="119">
        <f t="shared" si="24"/>
        <v>6.6835000000000006E-2</v>
      </c>
      <c r="N201" s="119">
        <f t="shared" si="24"/>
        <v>6.6835000000000006E-2</v>
      </c>
      <c r="O201" s="119">
        <f t="shared" si="24"/>
        <v>6.6835000000000006E-2</v>
      </c>
      <c r="P201" s="119">
        <f t="shared" si="24"/>
        <v>6.6835000000000006E-2</v>
      </c>
      <c r="Q201" s="119">
        <f t="shared" si="24"/>
        <v>6.6835000000000006E-2</v>
      </c>
      <c r="R201" s="119">
        <f t="shared" si="24"/>
        <v>6.6835000000000006E-2</v>
      </c>
      <c r="S201" s="119">
        <f t="shared" si="24"/>
        <v>6.6835000000000006E-2</v>
      </c>
      <c r="T201" s="119">
        <f t="shared" si="24"/>
        <v>6.6835000000000006E-2</v>
      </c>
      <c r="U201" s="119"/>
    </row>
    <row r="202" spans="2:21" outlineLevel="1" x14ac:dyDescent="0.2">
      <c r="B202" s="39" t="s">
        <v>95</v>
      </c>
      <c r="C202" s="82" t="s">
        <v>71</v>
      </c>
      <c r="D202" s="120" t="str">
        <f t="shared" si="19"/>
        <v>Light Duty VehicleE100</v>
      </c>
      <c r="E202" s="121">
        <v>0</v>
      </c>
      <c r="F202" s="121">
        <v>1</v>
      </c>
      <c r="G202" s="119"/>
      <c r="H202" s="119"/>
      <c r="I202" s="119"/>
      <c r="J202" s="119"/>
      <c r="K202" s="123"/>
      <c r="L202" s="119">
        <f t="shared" ref="L202:T203" si="25">(($E202*L$115)*$O$6)+(L$141*$O$7)+(L$165*$O$8)</f>
        <v>0.14581</v>
      </c>
      <c r="M202" s="119">
        <f t="shared" si="25"/>
        <v>0.14581</v>
      </c>
      <c r="N202" s="119">
        <f t="shared" si="25"/>
        <v>0.14581</v>
      </c>
      <c r="O202" s="119">
        <f t="shared" si="25"/>
        <v>0.14581</v>
      </c>
      <c r="P202" s="119">
        <f t="shared" si="25"/>
        <v>0.14581</v>
      </c>
      <c r="Q202" s="119">
        <f t="shared" si="25"/>
        <v>0.14581</v>
      </c>
      <c r="R202" s="119">
        <f t="shared" si="25"/>
        <v>0.14581</v>
      </c>
      <c r="S202" s="119">
        <f t="shared" si="25"/>
        <v>0.14581</v>
      </c>
      <c r="T202" s="119">
        <f t="shared" si="25"/>
        <v>0.14581</v>
      </c>
      <c r="U202" s="119"/>
    </row>
    <row r="203" spans="2:21" outlineLevel="1" x14ac:dyDescent="0.2">
      <c r="B203" s="39" t="s">
        <v>95</v>
      </c>
      <c r="C203" s="82" t="s">
        <v>102</v>
      </c>
      <c r="D203" s="120" t="str">
        <f t="shared" si="19"/>
        <v>Light Duty VehicleE0</v>
      </c>
      <c r="E203" s="121">
        <v>1</v>
      </c>
      <c r="F203" s="121">
        <v>0</v>
      </c>
      <c r="G203" s="119"/>
      <c r="H203" s="119"/>
      <c r="I203" s="119"/>
      <c r="J203" s="119"/>
      <c r="K203" s="123"/>
      <c r="L203" s="119">
        <f t="shared" si="25"/>
        <v>2.4352836842105261</v>
      </c>
      <c r="M203" s="119">
        <f t="shared" si="25"/>
        <v>2.4352836842105261</v>
      </c>
      <c r="N203" s="119">
        <f t="shared" si="25"/>
        <v>2.4352836842105261</v>
      </c>
      <c r="O203" s="119">
        <f t="shared" si="25"/>
        <v>2.4352836842105261</v>
      </c>
      <c r="P203" s="119">
        <f t="shared" si="25"/>
        <v>2.4352836842105261</v>
      </c>
      <c r="Q203" s="119">
        <f t="shared" si="25"/>
        <v>2.4615994736842106</v>
      </c>
      <c r="R203" s="119">
        <f t="shared" si="25"/>
        <v>2.4615994736842106</v>
      </c>
      <c r="S203" s="119">
        <f t="shared" si="25"/>
        <v>2.4615994736842106</v>
      </c>
      <c r="T203" s="119">
        <f t="shared" si="25"/>
        <v>2.4615994736842106</v>
      </c>
      <c r="U203" s="119"/>
    </row>
    <row r="204" spans="2:21" outlineLevel="1" x14ac:dyDescent="0.2">
      <c r="B204" s="59" t="s">
        <v>96</v>
      </c>
      <c r="C204" s="59" t="s">
        <v>52</v>
      </c>
      <c r="D204" s="124" t="str">
        <f t="shared" si="19"/>
        <v>Light Duty TruckGasoline</v>
      </c>
      <c r="E204" s="125">
        <v>0.95</v>
      </c>
      <c r="F204" s="125">
        <v>0.05</v>
      </c>
      <c r="G204" s="126"/>
      <c r="H204" s="126"/>
      <c r="I204" s="126"/>
      <c r="J204" s="126"/>
      <c r="K204" s="127"/>
      <c r="L204" s="126">
        <f t="shared" ref="L204:T204" si="26">(($E204*L$115)*$O$6)+(L$145*$O$7)+(L$169*$O$8)</f>
        <v>2.3538399999999995</v>
      </c>
      <c r="M204" s="126">
        <f t="shared" si="26"/>
        <v>2.3538399999999995</v>
      </c>
      <c r="N204" s="126">
        <f t="shared" si="26"/>
        <v>2.3538399999999995</v>
      </c>
      <c r="O204" s="126">
        <f t="shared" si="26"/>
        <v>2.3538399999999995</v>
      </c>
      <c r="P204" s="126">
        <f t="shared" si="26"/>
        <v>2.3538399999999995</v>
      </c>
      <c r="Q204" s="126">
        <f t="shared" si="26"/>
        <v>2.3788399999999998</v>
      </c>
      <c r="R204" s="126">
        <f t="shared" si="26"/>
        <v>2.3788399999999998</v>
      </c>
      <c r="S204" s="126">
        <f t="shared" si="26"/>
        <v>2.3788399999999998</v>
      </c>
      <c r="T204" s="126">
        <f t="shared" si="26"/>
        <v>2.3788399999999998</v>
      </c>
      <c r="U204" s="126"/>
    </row>
    <row r="205" spans="2:21" outlineLevel="1" x14ac:dyDescent="0.2">
      <c r="B205" s="59" t="s">
        <v>96</v>
      </c>
      <c r="C205" s="59" t="s">
        <v>69</v>
      </c>
      <c r="D205" s="124" t="str">
        <f t="shared" si="19"/>
        <v>Light Duty TruckD</v>
      </c>
      <c r="E205" s="125">
        <v>0.96</v>
      </c>
      <c r="F205" s="125">
        <v>0.04</v>
      </c>
      <c r="G205" s="126"/>
      <c r="H205" s="126"/>
      <c r="I205" s="126"/>
      <c r="J205" s="126"/>
      <c r="K205" s="127"/>
      <c r="L205" s="126">
        <f t="shared" ref="L205:T205" si="27">(($E205*L$116)*$O$6)+(L$146*$O$7)+(L$170*$O$8)</f>
        <v>2.6232600000000001</v>
      </c>
      <c r="M205" s="126">
        <f t="shared" si="27"/>
        <v>2.6232600000000001</v>
      </c>
      <c r="N205" s="126">
        <f t="shared" si="27"/>
        <v>2.6232600000000001</v>
      </c>
      <c r="O205" s="126">
        <f t="shared" si="27"/>
        <v>2.6232600000000001</v>
      </c>
      <c r="P205" s="126">
        <f t="shared" si="27"/>
        <v>2.6232600000000001</v>
      </c>
      <c r="Q205" s="126">
        <f t="shared" si="27"/>
        <v>2.6492599999999999</v>
      </c>
      <c r="R205" s="126">
        <f t="shared" si="27"/>
        <v>2.6492599999999999</v>
      </c>
      <c r="S205" s="126">
        <f t="shared" si="27"/>
        <v>2.6492599999999999</v>
      </c>
      <c r="T205" s="126">
        <f t="shared" si="27"/>
        <v>2.6492599999999999</v>
      </c>
      <c r="U205" s="126"/>
    </row>
    <row r="206" spans="2:21" outlineLevel="1" x14ac:dyDescent="0.2">
      <c r="B206" s="59" t="s">
        <v>96</v>
      </c>
      <c r="C206" s="59" t="s">
        <v>73</v>
      </c>
      <c r="D206" s="124" t="str">
        <f t="shared" si="19"/>
        <v>Light Duty TruckP</v>
      </c>
      <c r="E206" s="125">
        <v>1</v>
      </c>
      <c r="F206" s="125">
        <v>0</v>
      </c>
      <c r="G206" s="126"/>
      <c r="H206" s="126"/>
      <c r="I206" s="126"/>
      <c r="J206" s="126"/>
      <c r="K206" s="127"/>
      <c r="L206" s="126">
        <f t="shared" ref="L206:T206" si="28">(L123*$O$6)+(L147*$O$7)+(L171*$O$8)</f>
        <v>1.5343439999999999</v>
      </c>
      <c r="M206" s="126">
        <f t="shared" si="28"/>
        <v>1.5343439999999999</v>
      </c>
      <c r="N206" s="126">
        <f t="shared" si="28"/>
        <v>1.5343439999999999</v>
      </c>
      <c r="O206" s="126">
        <f t="shared" si="28"/>
        <v>1.5313439999999998</v>
      </c>
      <c r="P206" s="126">
        <f t="shared" si="28"/>
        <v>1.5313439999999998</v>
      </c>
      <c r="Q206" s="126">
        <f t="shared" si="28"/>
        <v>1.5393439999999998</v>
      </c>
      <c r="R206" s="126">
        <f t="shared" si="28"/>
        <v>1.5393439999999998</v>
      </c>
      <c r="S206" s="126">
        <f t="shared" si="28"/>
        <v>1.5393439999999998</v>
      </c>
      <c r="T206" s="126">
        <f t="shared" si="28"/>
        <v>1.5393439999999998</v>
      </c>
      <c r="U206" s="126"/>
    </row>
    <row r="207" spans="2:21" outlineLevel="1" x14ac:dyDescent="0.2">
      <c r="B207" s="59" t="s">
        <v>96</v>
      </c>
      <c r="C207" s="59" t="s">
        <v>66</v>
      </c>
      <c r="D207" s="124" t="str">
        <f t="shared" si="19"/>
        <v>Light Duty TruckCNG</v>
      </c>
      <c r="E207" s="125">
        <v>1</v>
      </c>
      <c r="F207" s="125">
        <v>0</v>
      </c>
      <c r="G207" s="126"/>
      <c r="H207" s="126"/>
      <c r="I207" s="126"/>
      <c r="J207" s="126"/>
      <c r="K207" s="128" t="s">
        <v>113</v>
      </c>
      <c r="L207" s="126">
        <f t="shared" ref="L207:T207" si="29">((L124*$O$6)+(L148*$O$7)+(L172*$O$8))/$F$92</f>
        <v>2.027459102902375</v>
      </c>
      <c r="M207" s="126">
        <f t="shared" si="29"/>
        <v>2.027459102902375</v>
      </c>
      <c r="N207" s="126">
        <f t="shared" si="29"/>
        <v>2.027459102902375</v>
      </c>
      <c r="O207" s="126">
        <f t="shared" si="29"/>
        <v>2.027459102902375</v>
      </c>
      <c r="P207" s="126">
        <f t="shared" si="29"/>
        <v>2.027459102902375</v>
      </c>
      <c r="Q207" s="126">
        <f t="shared" si="29"/>
        <v>2.0373535620052774</v>
      </c>
      <c r="R207" s="126">
        <f t="shared" si="29"/>
        <v>2.0373535620052774</v>
      </c>
      <c r="S207" s="126">
        <f t="shared" si="29"/>
        <v>2.0373535620052774</v>
      </c>
      <c r="T207" s="126">
        <f t="shared" si="29"/>
        <v>2.0373535620052774</v>
      </c>
      <c r="U207" s="126"/>
    </row>
    <row r="208" spans="2:21" outlineLevel="1" x14ac:dyDescent="0.2">
      <c r="B208" s="59" t="s">
        <v>96</v>
      </c>
      <c r="C208" s="59" t="s">
        <v>70</v>
      </c>
      <c r="D208" s="124" t="str">
        <f t="shared" si="19"/>
        <v>Light Duty TruckE10</v>
      </c>
      <c r="E208" s="125">
        <v>0.9</v>
      </c>
      <c r="F208" s="125">
        <v>9.9999999999999978E-2</v>
      </c>
      <c r="G208" s="126"/>
      <c r="H208" s="126"/>
      <c r="I208" s="126"/>
      <c r="J208" s="126"/>
      <c r="K208" s="127"/>
      <c r="L208" s="126">
        <f t="shared" ref="L208:T208" si="30">(($E208*L$115)*$O$6)+(L$145*$O$7)+(L$169*$O$8)</f>
        <v>2.2393663157894732</v>
      </c>
      <c r="M208" s="126">
        <f t="shared" si="30"/>
        <v>2.2393663157894732</v>
      </c>
      <c r="N208" s="126">
        <f t="shared" si="30"/>
        <v>2.2393663157894732</v>
      </c>
      <c r="O208" s="126">
        <f t="shared" si="30"/>
        <v>2.2393663157894732</v>
      </c>
      <c r="P208" s="126">
        <f t="shared" si="30"/>
        <v>2.2393663157894732</v>
      </c>
      <c r="Q208" s="126">
        <f t="shared" si="30"/>
        <v>2.2630505263157894</v>
      </c>
      <c r="R208" s="126">
        <f t="shared" si="30"/>
        <v>2.2630505263157894</v>
      </c>
      <c r="S208" s="126">
        <f t="shared" si="30"/>
        <v>2.2630505263157894</v>
      </c>
      <c r="T208" s="126">
        <f t="shared" si="30"/>
        <v>2.2630505263157894</v>
      </c>
      <c r="U208" s="126"/>
    </row>
    <row r="209" spans="2:21" outlineLevel="1" x14ac:dyDescent="0.2">
      <c r="B209" s="59" t="s">
        <v>96</v>
      </c>
      <c r="C209" s="59" t="s">
        <v>65</v>
      </c>
      <c r="D209" s="124" t="str">
        <f t="shared" si="19"/>
        <v>Light Duty TruckB5</v>
      </c>
      <c r="E209" s="125">
        <v>0.95</v>
      </c>
      <c r="F209" s="125">
        <v>5.0000000000000044E-2</v>
      </c>
      <c r="G209" s="126"/>
      <c r="H209" s="126"/>
      <c r="I209" s="126"/>
      <c r="J209" s="126"/>
      <c r="K209" s="126"/>
      <c r="L209" s="126">
        <f t="shared" ref="L209:T215" si="31">(($E209*L$116)*$O$6)+(L$146*$O$7)+(L$170*$O$8)</f>
        <v>2.596635</v>
      </c>
      <c r="M209" s="126">
        <f t="shared" si="31"/>
        <v>2.596635</v>
      </c>
      <c r="N209" s="126">
        <f t="shared" si="31"/>
        <v>2.596635</v>
      </c>
      <c r="O209" s="126">
        <f t="shared" si="31"/>
        <v>2.596635</v>
      </c>
      <c r="P209" s="126">
        <f t="shared" si="31"/>
        <v>2.596635</v>
      </c>
      <c r="Q209" s="126">
        <f t="shared" si="31"/>
        <v>2.6223641666666664</v>
      </c>
      <c r="R209" s="126">
        <f t="shared" si="31"/>
        <v>2.6223641666666664</v>
      </c>
      <c r="S209" s="126">
        <f t="shared" si="31"/>
        <v>2.6223641666666664</v>
      </c>
      <c r="T209" s="126">
        <f t="shared" si="31"/>
        <v>2.6223641666666664</v>
      </c>
      <c r="U209" s="126"/>
    </row>
    <row r="210" spans="2:21" outlineLevel="1" x14ac:dyDescent="0.2">
      <c r="B210" s="59" t="s">
        <v>96</v>
      </c>
      <c r="C210" s="59" t="s">
        <v>114</v>
      </c>
      <c r="D210" s="124" t="str">
        <f t="shared" si="19"/>
        <v>Light Duty TruckB10</v>
      </c>
      <c r="E210" s="125">
        <v>0.9</v>
      </c>
      <c r="F210" s="125">
        <v>9.9999999999999978E-2</v>
      </c>
      <c r="G210" s="126"/>
      <c r="H210" s="126"/>
      <c r="I210" s="126"/>
      <c r="J210" s="126"/>
      <c r="K210" s="126"/>
      <c r="L210" s="126">
        <f t="shared" si="31"/>
        <v>2.4635100000000003</v>
      </c>
      <c r="M210" s="126">
        <f t="shared" si="31"/>
        <v>2.4635100000000003</v>
      </c>
      <c r="N210" s="126">
        <f t="shared" si="31"/>
        <v>2.4635100000000003</v>
      </c>
      <c r="O210" s="126">
        <f t="shared" si="31"/>
        <v>2.4635100000000003</v>
      </c>
      <c r="P210" s="126">
        <f t="shared" si="31"/>
        <v>2.4635100000000003</v>
      </c>
      <c r="Q210" s="126">
        <f t="shared" si="31"/>
        <v>2.4878849999999999</v>
      </c>
      <c r="R210" s="126">
        <f t="shared" si="31"/>
        <v>2.4878849999999999</v>
      </c>
      <c r="S210" s="126">
        <f t="shared" si="31"/>
        <v>2.4878849999999999</v>
      </c>
      <c r="T210" s="126">
        <f t="shared" si="31"/>
        <v>2.4878849999999999</v>
      </c>
      <c r="U210" s="126"/>
    </row>
    <row r="211" spans="2:21" outlineLevel="1" x14ac:dyDescent="0.2">
      <c r="B211" s="59" t="s">
        <v>96</v>
      </c>
      <c r="C211" s="59" t="s">
        <v>63</v>
      </c>
      <c r="D211" s="124" t="str">
        <f t="shared" si="19"/>
        <v>Light Duty TruckB20</v>
      </c>
      <c r="E211" s="125">
        <v>0.8</v>
      </c>
      <c r="F211" s="125">
        <v>0.19999999999999996</v>
      </c>
      <c r="G211" s="126"/>
      <c r="H211" s="126"/>
      <c r="I211" s="126"/>
      <c r="J211" s="126"/>
      <c r="K211" s="126"/>
      <c r="L211" s="126">
        <f t="shared" si="31"/>
        <v>2.1972600000000004</v>
      </c>
      <c r="M211" s="126">
        <f t="shared" si="31"/>
        <v>2.1972600000000004</v>
      </c>
      <c r="N211" s="126">
        <f t="shared" si="31"/>
        <v>2.1972600000000004</v>
      </c>
      <c r="O211" s="126">
        <f t="shared" si="31"/>
        <v>2.1972600000000004</v>
      </c>
      <c r="P211" s="126">
        <f t="shared" si="31"/>
        <v>2.1972600000000004</v>
      </c>
      <c r="Q211" s="126">
        <f t="shared" si="31"/>
        <v>2.2189266666666669</v>
      </c>
      <c r="R211" s="126">
        <f t="shared" si="31"/>
        <v>2.2189266666666669</v>
      </c>
      <c r="S211" s="126">
        <f t="shared" si="31"/>
        <v>2.2189266666666669</v>
      </c>
      <c r="T211" s="126">
        <f t="shared" si="31"/>
        <v>2.2189266666666669</v>
      </c>
      <c r="U211" s="126"/>
    </row>
    <row r="212" spans="2:21" outlineLevel="1" x14ac:dyDescent="0.2">
      <c r="B212" s="59" t="s">
        <v>96</v>
      </c>
      <c r="C212" s="59" t="s">
        <v>115</v>
      </c>
      <c r="D212" s="124" t="str">
        <f t="shared" si="19"/>
        <v>Light Duty TruckB50</v>
      </c>
      <c r="E212" s="125">
        <v>0.5</v>
      </c>
      <c r="F212" s="125">
        <v>0.5</v>
      </c>
      <c r="G212" s="126"/>
      <c r="H212" s="126"/>
      <c r="I212" s="126"/>
      <c r="J212" s="126"/>
      <c r="K212" s="126"/>
      <c r="L212" s="126">
        <f t="shared" si="31"/>
        <v>1.3985100000000001</v>
      </c>
      <c r="M212" s="126">
        <f t="shared" si="31"/>
        <v>1.3985100000000001</v>
      </c>
      <c r="N212" s="126">
        <f t="shared" si="31"/>
        <v>1.3985100000000001</v>
      </c>
      <c r="O212" s="126">
        <f t="shared" si="31"/>
        <v>1.3985100000000001</v>
      </c>
      <c r="P212" s="126">
        <f t="shared" si="31"/>
        <v>1.3985100000000001</v>
      </c>
      <c r="Q212" s="126">
        <f t="shared" si="31"/>
        <v>1.4120516666666667</v>
      </c>
      <c r="R212" s="126">
        <f t="shared" si="31"/>
        <v>1.4120516666666667</v>
      </c>
      <c r="S212" s="126">
        <f t="shared" si="31"/>
        <v>1.4120516666666667</v>
      </c>
      <c r="T212" s="126">
        <f t="shared" si="31"/>
        <v>1.4120516666666667</v>
      </c>
      <c r="U212" s="126"/>
    </row>
    <row r="213" spans="2:21" outlineLevel="1" x14ac:dyDescent="0.2">
      <c r="B213" s="59" t="s">
        <v>96</v>
      </c>
      <c r="C213" s="59" t="s">
        <v>61</v>
      </c>
      <c r="D213" s="124" t="str">
        <f t="shared" si="19"/>
        <v>Light Duty TruckB100</v>
      </c>
      <c r="E213" s="125">
        <v>0</v>
      </c>
      <c r="F213" s="125">
        <v>1</v>
      </c>
      <c r="G213" s="126"/>
      <c r="H213" s="126"/>
      <c r="I213" s="126"/>
      <c r="J213" s="126"/>
      <c r="K213" s="126"/>
      <c r="L213" s="126">
        <f t="shared" si="31"/>
        <v>6.726E-2</v>
      </c>
      <c r="M213" s="126">
        <f t="shared" si="31"/>
        <v>6.726E-2</v>
      </c>
      <c r="N213" s="126">
        <f t="shared" si="31"/>
        <v>6.726E-2</v>
      </c>
      <c r="O213" s="126">
        <f t="shared" si="31"/>
        <v>6.726E-2</v>
      </c>
      <c r="P213" s="126">
        <f t="shared" si="31"/>
        <v>6.726E-2</v>
      </c>
      <c r="Q213" s="126">
        <f t="shared" si="31"/>
        <v>6.726E-2</v>
      </c>
      <c r="R213" s="126">
        <f t="shared" si="31"/>
        <v>6.726E-2</v>
      </c>
      <c r="S213" s="126">
        <f t="shared" si="31"/>
        <v>6.726E-2</v>
      </c>
      <c r="T213" s="126">
        <f t="shared" si="31"/>
        <v>6.726E-2</v>
      </c>
      <c r="U213" s="126"/>
    </row>
    <row r="214" spans="2:21" outlineLevel="1" x14ac:dyDescent="0.2">
      <c r="B214" s="59" t="s">
        <v>96</v>
      </c>
      <c r="C214" s="59" t="s">
        <v>104</v>
      </c>
      <c r="D214" s="124" t="str">
        <f t="shared" si="19"/>
        <v>Light Duty TruckB0</v>
      </c>
      <c r="E214" s="125">
        <v>1</v>
      </c>
      <c r="F214" s="125">
        <v>0</v>
      </c>
      <c r="G214" s="126"/>
      <c r="H214" s="126"/>
      <c r="I214" s="126"/>
      <c r="J214" s="126"/>
      <c r="K214" s="126"/>
      <c r="L214" s="126">
        <f t="shared" si="31"/>
        <v>2.7297600000000002</v>
      </c>
      <c r="M214" s="126">
        <f t="shared" si="31"/>
        <v>2.7297600000000002</v>
      </c>
      <c r="N214" s="126">
        <f t="shared" si="31"/>
        <v>2.7297600000000002</v>
      </c>
      <c r="O214" s="126">
        <f t="shared" si="31"/>
        <v>2.7297600000000002</v>
      </c>
      <c r="P214" s="126">
        <f t="shared" si="31"/>
        <v>2.7297600000000002</v>
      </c>
      <c r="Q214" s="126">
        <f t="shared" si="31"/>
        <v>2.7568433333333333</v>
      </c>
      <c r="R214" s="126">
        <f t="shared" si="31"/>
        <v>2.7568433333333333</v>
      </c>
      <c r="S214" s="126">
        <f t="shared" si="31"/>
        <v>2.7568433333333333</v>
      </c>
      <c r="T214" s="126">
        <f t="shared" si="31"/>
        <v>2.7568433333333333</v>
      </c>
      <c r="U214" s="126"/>
    </row>
    <row r="215" spans="2:21" outlineLevel="1" x14ac:dyDescent="0.2">
      <c r="B215" s="59" t="s">
        <v>96</v>
      </c>
      <c r="C215" s="59" t="s">
        <v>94</v>
      </c>
      <c r="D215" s="124" t="str">
        <f t="shared" si="19"/>
        <v>Light Duty TruckR100</v>
      </c>
      <c r="E215" s="125">
        <v>0</v>
      </c>
      <c r="F215" s="125">
        <v>1</v>
      </c>
      <c r="G215" s="126"/>
      <c r="H215" s="126"/>
      <c r="I215" s="126"/>
      <c r="J215" s="126"/>
      <c r="K215" s="126"/>
      <c r="L215" s="126">
        <f t="shared" si="31"/>
        <v>6.726E-2</v>
      </c>
      <c r="M215" s="126">
        <f t="shared" si="31"/>
        <v>6.726E-2</v>
      </c>
      <c r="N215" s="126">
        <f t="shared" si="31"/>
        <v>6.726E-2</v>
      </c>
      <c r="O215" s="126">
        <f t="shared" si="31"/>
        <v>6.726E-2</v>
      </c>
      <c r="P215" s="126">
        <f t="shared" si="31"/>
        <v>6.726E-2</v>
      </c>
      <c r="Q215" s="126">
        <f t="shared" si="31"/>
        <v>6.726E-2</v>
      </c>
      <c r="R215" s="126">
        <f t="shared" si="31"/>
        <v>6.726E-2</v>
      </c>
      <c r="S215" s="126">
        <f t="shared" si="31"/>
        <v>6.726E-2</v>
      </c>
      <c r="T215" s="126">
        <f t="shared" si="31"/>
        <v>6.726E-2</v>
      </c>
      <c r="U215" s="126"/>
    </row>
    <row r="216" spans="2:21" outlineLevel="1" x14ac:dyDescent="0.2">
      <c r="B216" s="59" t="s">
        <v>96</v>
      </c>
      <c r="C216" s="59" t="s">
        <v>71</v>
      </c>
      <c r="D216" s="124" t="str">
        <f t="shared" si="19"/>
        <v>Light Duty TruckE100</v>
      </c>
      <c r="E216" s="125">
        <v>0</v>
      </c>
      <c r="F216" s="125">
        <v>1</v>
      </c>
      <c r="G216" s="126"/>
      <c r="H216" s="126"/>
      <c r="I216" s="126"/>
      <c r="J216" s="126"/>
      <c r="K216" s="126"/>
      <c r="L216" s="126">
        <f t="shared" ref="L216:T217" si="32">(($E216*L$115)*$O$6)+(L$145*$O$7)+(L$169*$O$8)</f>
        <v>0.17884</v>
      </c>
      <c r="M216" s="126">
        <f t="shared" si="32"/>
        <v>0.17884</v>
      </c>
      <c r="N216" s="126">
        <f t="shared" si="32"/>
        <v>0.17884</v>
      </c>
      <c r="O216" s="126">
        <f t="shared" si="32"/>
        <v>0.17884</v>
      </c>
      <c r="P216" s="126">
        <f t="shared" si="32"/>
        <v>0.17884</v>
      </c>
      <c r="Q216" s="126">
        <f t="shared" si="32"/>
        <v>0.17884</v>
      </c>
      <c r="R216" s="126">
        <f t="shared" si="32"/>
        <v>0.17884</v>
      </c>
      <c r="S216" s="126">
        <f t="shared" si="32"/>
        <v>0.17884</v>
      </c>
      <c r="T216" s="126">
        <f t="shared" si="32"/>
        <v>0.17884</v>
      </c>
      <c r="U216" s="126"/>
    </row>
    <row r="217" spans="2:21" outlineLevel="1" x14ac:dyDescent="0.2">
      <c r="B217" s="59" t="s">
        <v>96</v>
      </c>
      <c r="C217" s="59" t="s">
        <v>102</v>
      </c>
      <c r="D217" s="124" t="str">
        <f t="shared" si="19"/>
        <v>Light Duty TruckE0</v>
      </c>
      <c r="E217" s="125">
        <v>1</v>
      </c>
      <c r="F217" s="125">
        <v>0</v>
      </c>
      <c r="G217" s="126"/>
      <c r="H217" s="126"/>
      <c r="I217" s="126"/>
      <c r="J217" s="126"/>
      <c r="K217" s="126"/>
      <c r="L217" s="126">
        <f t="shared" si="32"/>
        <v>2.4683136842105258</v>
      </c>
      <c r="M217" s="126">
        <f t="shared" si="32"/>
        <v>2.4683136842105258</v>
      </c>
      <c r="N217" s="126">
        <f t="shared" si="32"/>
        <v>2.4683136842105258</v>
      </c>
      <c r="O217" s="126">
        <f t="shared" si="32"/>
        <v>2.4683136842105258</v>
      </c>
      <c r="P217" s="126">
        <f t="shared" si="32"/>
        <v>2.4683136842105258</v>
      </c>
      <c r="Q217" s="126">
        <f t="shared" si="32"/>
        <v>2.4946294736842103</v>
      </c>
      <c r="R217" s="126">
        <f t="shared" si="32"/>
        <v>2.4946294736842103</v>
      </c>
      <c r="S217" s="126">
        <f t="shared" si="32"/>
        <v>2.4946294736842103</v>
      </c>
      <c r="T217" s="126">
        <f t="shared" si="32"/>
        <v>2.4946294736842103</v>
      </c>
      <c r="U217" s="126"/>
    </row>
    <row r="218" spans="2:21" outlineLevel="1" x14ac:dyDescent="0.2">
      <c r="B218" s="39" t="s">
        <v>97</v>
      </c>
      <c r="C218" s="94" t="s">
        <v>52</v>
      </c>
      <c r="D218" s="117" t="str">
        <f t="shared" si="19"/>
        <v>Heavy DutyGasoline</v>
      </c>
      <c r="E218" s="118">
        <v>0.95</v>
      </c>
      <c r="F218" s="118">
        <v>0.05</v>
      </c>
      <c r="G218" s="119"/>
      <c r="H218" s="119"/>
      <c r="I218" s="119"/>
      <c r="J218" s="119"/>
      <c r="K218" s="119"/>
      <c r="L218" s="119">
        <f t="shared" ref="L218:T218" si="33">(($E218*L$115)*$O$6)+(L$149*$O$7)+(L$173*$O$8)</f>
        <v>2.2363</v>
      </c>
      <c r="M218" s="119">
        <f t="shared" si="33"/>
        <v>2.2363</v>
      </c>
      <c r="N218" s="119">
        <f t="shared" si="33"/>
        <v>2.2363</v>
      </c>
      <c r="O218" s="119">
        <f t="shared" si="33"/>
        <v>2.2363</v>
      </c>
      <c r="P218" s="119">
        <f t="shared" si="33"/>
        <v>2.2363</v>
      </c>
      <c r="Q218" s="119">
        <f t="shared" si="33"/>
        <v>2.2613000000000003</v>
      </c>
      <c r="R218" s="119">
        <f t="shared" si="33"/>
        <v>2.2613000000000003</v>
      </c>
      <c r="S218" s="119">
        <f t="shared" si="33"/>
        <v>2.2613000000000003</v>
      </c>
      <c r="T218" s="119">
        <f t="shared" si="33"/>
        <v>2.2613000000000003</v>
      </c>
      <c r="U218" s="119"/>
    </row>
    <row r="219" spans="2:21" outlineLevel="1" x14ac:dyDescent="0.2">
      <c r="B219" s="39" t="s">
        <v>97</v>
      </c>
      <c r="C219" s="82" t="s">
        <v>69</v>
      </c>
      <c r="D219" s="120" t="str">
        <f t="shared" si="19"/>
        <v>Heavy DutyD</v>
      </c>
      <c r="E219" s="121">
        <v>0.96</v>
      </c>
      <c r="F219" s="121">
        <v>0.04</v>
      </c>
      <c r="G219" s="119"/>
      <c r="H219" s="119"/>
      <c r="I219" s="119"/>
      <c r="J219" s="119"/>
      <c r="K219" s="119"/>
      <c r="L219" s="119">
        <f t="shared" ref="L219:T219" si="34">(($E219*L$116)*$O$6)+(L$150*$O$7)+(L$174*$O$8)</f>
        <v>2.603748</v>
      </c>
      <c r="M219" s="119">
        <f t="shared" si="34"/>
        <v>2.603748</v>
      </c>
      <c r="N219" s="119">
        <f t="shared" si="34"/>
        <v>2.603748</v>
      </c>
      <c r="O219" s="119">
        <f t="shared" si="34"/>
        <v>2.603748</v>
      </c>
      <c r="P219" s="119">
        <f t="shared" si="34"/>
        <v>2.603748</v>
      </c>
      <c r="Q219" s="119">
        <f t="shared" si="34"/>
        <v>2.6297479999999998</v>
      </c>
      <c r="R219" s="119">
        <f t="shared" si="34"/>
        <v>2.6297479999999998</v>
      </c>
      <c r="S219" s="119">
        <f t="shared" si="34"/>
        <v>2.6297479999999998</v>
      </c>
      <c r="T219" s="119">
        <f t="shared" si="34"/>
        <v>2.6297479999999998</v>
      </c>
      <c r="U219" s="119"/>
    </row>
    <row r="220" spans="2:21" outlineLevel="1" x14ac:dyDescent="0.2">
      <c r="B220" s="129" t="s">
        <v>97</v>
      </c>
      <c r="C220" s="130" t="s">
        <v>66</v>
      </c>
      <c r="D220" s="131" t="str">
        <f t="shared" si="19"/>
        <v>Heavy DutyCNG</v>
      </c>
      <c r="E220" s="132">
        <v>1</v>
      </c>
      <c r="F220" s="132">
        <v>0</v>
      </c>
      <c r="G220" s="133"/>
      <c r="H220" s="133"/>
      <c r="I220" s="133"/>
      <c r="J220" s="133"/>
      <c r="K220" s="134" t="s">
        <v>113</v>
      </c>
      <c r="L220" s="133">
        <f t="shared" ref="L220:T220" si="35">((L127*$O$6)+(L151*$O$7)+(L175*$O$8))/$F$94</f>
        <v>2.1023447332421341</v>
      </c>
      <c r="M220" s="133">
        <f t="shared" si="35"/>
        <v>2.1023447332421341</v>
      </c>
      <c r="N220" s="133">
        <f t="shared" si="35"/>
        <v>2.1023447332421341</v>
      </c>
      <c r="O220" s="133">
        <f t="shared" si="35"/>
        <v>2.1023447332421341</v>
      </c>
      <c r="P220" s="133">
        <f t="shared" si="35"/>
        <v>2.1023447332421341</v>
      </c>
      <c r="Q220" s="133">
        <f t="shared" si="35"/>
        <v>2.1126046511627909</v>
      </c>
      <c r="R220" s="133">
        <f t="shared" si="35"/>
        <v>2.1126046511627909</v>
      </c>
      <c r="S220" s="133">
        <f t="shared" si="35"/>
        <v>2.1126046511627909</v>
      </c>
      <c r="T220" s="133">
        <f t="shared" si="35"/>
        <v>2.1126046511627909</v>
      </c>
      <c r="U220" s="133"/>
    </row>
    <row r="221" spans="2:21" outlineLevel="1" x14ac:dyDescent="0.2">
      <c r="B221" s="39" t="s">
        <v>97</v>
      </c>
      <c r="C221" s="82" t="s">
        <v>70</v>
      </c>
      <c r="D221" s="120" t="str">
        <f t="shared" si="19"/>
        <v>Heavy DutyE10</v>
      </c>
      <c r="E221" s="121">
        <v>0.9</v>
      </c>
      <c r="F221" s="121">
        <v>9.9999999999999978E-2</v>
      </c>
      <c r="G221" s="119"/>
      <c r="H221" s="119"/>
      <c r="I221" s="119"/>
      <c r="J221" s="119"/>
      <c r="K221" s="119"/>
      <c r="L221" s="119">
        <f t="shared" ref="L221:T221" si="36">(($E221*L$115)*$O$6)+(L$149*$O$7)+(L$173*$O$8)</f>
        <v>2.1218263157894737</v>
      </c>
      <c r="M221" s="119">
        <f t="shared" si="36"/>
        <v>2.1218263157894737</v>
      </c>
      <c r="N221" s="119">
        <f t="shared" si="36"/>
        <v>2.1218263157894737</v>
      </c>
      <c r="O221" s="119">
        <f t="shared" si="36"/>
        <v>2.1218263157894737</v>
      </c>
      <c r="P221" s="119">
        <f t="shared" si="36"/>
        <v>2.1218263157894737</v>
      </c>
      <c r="Q221" s="119">
        <f t="shared" si="36"/>
        <v>2.1455105263157899</v>
      </c>
      <c r="R221" s="119">
        <f t="shared" si="36"/>
        <v>2.1455105263157899</v>
      </c>
      <c r="S221" s="119">
        <f t="shared" si="36"/>
        <v>2.1455105263157899</v>
      </c>
      <c r="T221" s="119">
        <f t="shared" si="36"/>
        <v>2.1455105263157899</v>
      </c>
      <c r="U221" s="119"/>
    </row>
    <row r="222" spans="2:21" outlineLevel="1" x14ac:dyDescent="0.2">
      <c r="B222" s="39" t="s">
        <v>97</v>
      </c>
      <c r="C222" s="82" t="s">
        <v>65</v>
      </c>
      <c r="D222" s="120" t="str">
        <f t="shared" si="19"/>
        <v>Heavy DutyB5</v>
      </c>
      <c r="E222" s="121">
        <v>0.95</v>
      </c>
      <c r="F222" s="121">
        <v>5.0000000000000044E-2</v>
      </c>
      <c r="G222" s="119"/>
      <c r="H222" s="119"/>
      <c r="I222" s="119"/>
      <c r="J222" s="119"/>
      <c r="K222" s="119"/>
      <c r="L222" s="119">
        <f t="shared" ref="L222:T228" si="37">(($E222*L$116)*$O$6)+(L$150*$O$7)+(L$174*$O$8)</f>
        <v>2.5771229999999998</v>
      </c>
      <c r="M222" s="119">
        <f t="shared" si="37"/>
        <v>2.5771229999999998</v>
      </c>
      <c r="N222" s="119">
        <f t="shared" si="37"/>
        <v>2.5771229999999998</v>
      </c>
      <c r="O222" s="119">
        <f t="shared" si="37"/>
        <v>2.5771229999999998</v>
      </c>
      <c r="P222" s="119">
        <f t="shared" si="37"/>
        <v>2.5771229999999998</v>
      </c>
      <c r="Q222" s="119">
        <f t="shared" si="37"/>
        <v>2.6028521666666662</v>
      </c>
      <c r="R222" s="119">
        <f t="shared" si="37"/>
        <v>2.6028521666666662</v>
      </c>
      <c r="S222" s="119">
        <f t="shared" si="37"/>
        <v>2.6028521666666662</v>
      </c>
      <c r="T222" s="119">
        <f t="shared" si="37"/>
        <v>2.6028521666666662</v>
      </c>
      <c r="U222" s="119"/>
    </row>
    <row r="223" spans="2:21" outlineLevel="1" x14ac:dyDescent="0.2">
      <c r="B223" s="39" t="s">
        <v>97</v>
      </c>
      <c r="C223" s="82" t="s">
        <v>114</v>
      </c>
      <c r="D223" s="120" t="str">
        <f t="shared" si="19"/>
        <v>Heavy DutyB10</v>
      </c>
      <c r="E223" s="121">
        <v>0.9</v>
      </c>
      <c r="F223" s="121">
        <v>9.9999999999999978E-2</v>
      </c>
      <c r="G223" s="119"/>
      <c r="H223" s="119"/>
      <c r="I223" s="119"/>
      <c r="J223" s="119"/>
      <c r="K223" s="119"/>
      <c r="L223" s="119">
        <f t="shared" si="37"/>
        <v>2.4439980000000001</v>
      </c>
      <c r="M223" s="119">
        <f t="shared" si="37"/>
        <v>2.4439980000000001</v>
      </c>
      <c r="N223" s="119">
        <f t="shared" si="37"/>
        <v>2.4439980000000001</v>
      </c>
      <c r="O223" s="119">
        <f t="shared" si="37"/>
        <v>2.4439980000000001</v>
      </c>
      <c r="P223" s="119">
        <f t="shared" si="37"/>
        <v>2.4439980000000001</v>
      </c>
      <c r="Q223" s="119">
        <f t="shared" si="37"/>
        <v>2.4683729999999997</v>
      </c>
      <c r="R223" s="119">
        <f t="shared" si="37"/>
        <v>2.4683729999999997</v>
      </c>
      <c r="S223" s="119">
        <f t="shared" si="37"/>
        <v>2.4683729999999997</v>
      </c>
      <c r="T223" s="119">
        <f t="shared" si="37"/>
        <v>2.4683729999999997</v>
      </c>
      <c r="U223" s="119"/>
    </row>
    <row r="224" spans="2:21" outlineLevel="1" x14ac:dyDescent="0.2">
      <c r="B224" s="39" t="s">
        <v>97</v>
      </c>
      <c r="C224" s="82" t="s">
        <v>63</v>
      </c>
      <c r="D224" s="120" t="str">
        <f t="shared" si="19"/>
        <v>Heavy DutyB20</v>
      </c>
      <c r="E224" s="121">
        <v>0.8</v>
      </c>
      <c r="F224" s="121">
        <v>0.19999999999999996</v>
      </c>
      <c r="G224" s="119"/>
      <c r="H224" s="119"/>
      <c r="I224" s="119"/>
      <c r="J224" s="119"/>
      <c r="K224" s="119"/>
      <c r="L224" s="119">
        <f t="shared" si="37"/>
        <v>2.1777480000000002</v>
      </c>
      <c r="M224" s="119">
        <f t="shared" si="37"/>
        <v>2.1777480000000002</v>
      </c>
      <c r="N224" s="119">
        <f t="shared" si="37"/>
        <v>2.1777480000000002</v>
      </c>
      <c r="O224" s="119">
        <f t="shared" si="37"/>
        <v>2.1777480000000002</v>
      </c>
      <c r="P224" s="119">
        <f t="shared" si="37"/>
        <v>2.1777480000000002</v>
      </c>
      <c r="Q224" s="119">
        <f t="shared" si="37"/>
        <v>2.1994146666666667</v>
      </c>
      <c r="R224" s="119">
        <f t="shared" si="37"/>
        <v>2.1994146666666667</v>
      </c>
      <c r="S224" s="119">
        <f t="shared" si="37"/>
        <v>2.1994146666666667</v>
      </c>
      <c r="T224" s="119">
        <f t="shared" si="37"/>
        <v>2.1994146666666667</v>
      </c>
      <c r="U224" s="119"/>
    </row>
    <row r="225" spans="2:21" outlineLevel="1" x14ac:dyDescent="0.2">
      <c r="B225" s="39" t="s">
        <v>97</v>
      </c>
      <c r="C225" s="82" t="s">
        <v>115</v>
      </c>
      <c r="D225" s="120" t="str">
        <f t="shared" si="19"/>
        <v>Heavy DutyB50</v>
      </c>
      <c r="E225" s="121">
        <v>0.5</v>
      </c>
      <c r="F225" s="121">
        <v>0.5</v>
      </c>
      <c r="G225" s="119"/>
      <c r="H225" s="119"/>
      <c r="I225" s="119"/>
      <c r="J225" s="119"/>
      <c r="K225" s="119"/>
      <c r="L225" s="119">
        <f t="shared" si="37"/>
        <v>1.3789980000000002</v>
      </c>
      <c r="M225" s="119">
        <f t="shared" si="37"/>
        <v>1.3789980000000002</v>
      </c>
      <c r="N225" s="119">
        <f t="shared" si="37"/>
        <v>1.3789980000000002</v>
      </c>
      <c r="O225" s="119">
        <f t="shared" si="37"/>
        <v>1.3789980000000002</v>
      </c>
      <c r="P225" s="119">
        <f t="shared" si="37"/>
        <v>1.3789980000000002</v>
      </c>
      <c r="Q225" s="119">
        <f t="shared" si="37"/>
        <v>1.3925396666666667</v>
      </c>
      <c r="R225" s="119">
        <f t="shared" si="37"/>
        <v>1.3925396666666667</v>
      </c>
      <c r="S225" s="119">
        <f t="shared" si="37"/>
        <v>1.3925396666666667</v>
      </c>
      <c r="T225" s="119">
        <f t="shared" si="37"/>
        <v>1.3925396666666667</v>
      </c>
      <c r="U225" s="119"/>
    </row>
    <row r="226" spans="2:21" outlineLevel="1" x14ac:dyDescent="0.2">
      <c r="B226" s="39" t="s">
        <v>97</v>
      </c>
      <c r="C226" s="82" t="s">
        <v>61</v>
      </c>
      <c r="D226" s="120" t="str">
        <f t="shared" si="19"/>
        <v>Heavy DutyB100</v>
      </c>
      <c r="E226" s="121">
        <v>0</v>
      </c>
      <c r="F226" s="121">
        <v>1</v>
      </c>
      <c r="G226" s="119"/>
      <c r="H226" s="119"/>
      <c r="I226" s="119"/>
      <c r="J226" s="119"/>
      <c r="K226" s="119"/>
      <c r="L226" s="119">
        <f t="shared" si="37"/>
        <v>4.7748000000000006E-2</v>
      </c>
      <c r="M226" s="119">
        <f t="shared" si="37"/>
        <v>4.7748000000000006E-2</v>
      </c>
      <c r="N226" s="119">
        <f t="shared" si="37"/>
        <v>4.7748000000000006E-2</v>
      </c>
      <c r="O226" s="119">
        <f t="shared" si="37"/>
        <v>4.7748000000000006E-2</v>
      </c>
      <c r="P226" s="119">
        <f t="shared" si="37"/>
        <v>4.7748000000000006E-2</v>
      </c>
      <c r="Q226" s="119">
        <f t="shared" si="37"/>
        <v>4.7748000000000006E-2</v>
      </c>
      <c r="R226" s="119">
        <f t="shared" si="37"/>
        <v>4.7748000000000006E-2</v>
      </c>
      <c r="S226" s="119">
        <f t="shared" si="37"/>
        <v>4.7748000000000006E-2</v>
      </c>
      <c r="T226" s="119">
        <f t="shared" si="37"/>
        <v>4.7748000000000006E-2</v>
      </c>
      <c r="U226" s="119"/>
    </row>
    <row r="227" spans="2:21" outlineLevel="1" x14ac:dyDescent="0.2">
      <c r="B227" s="39" t="s">
        <v>97</v>
      </c>
      <c r="C227" s="82" t="s">
        <v>104</v>
      </c>
      <c r="D227" s="120" t="str">
        <f t="shared" si="19"/>
        <v>Heavy DutyB0</v>
      </c>
      <c r="E227" s="121">
        <v>1</v>
      </c>
      <c r="F227" s="121">
        <v>0</v>
      </c>
      <c r="G227" s="119"/>
      <c r="H227" s="119"/>
      <c r="I227" s="119"/>
      <c r="J227" s="119"/>
      <c r="K227" s="119"/>
      <c r="L227" s="119">
        <f t="shared" si="37"/>
        <v>2.710248</v>
      </c>
      <c r="M227" s="119">
        <f t="shared" si="37"/>
        <v>2.710248</v>
      </c>
      <c r="N227" s="119">
        <f t="shared" si="37"/>
        <v>2.710248</v>
      </c>
      <c r="O227" s="119">
        <f t="shared" si="37"/>
        <v>2.710248</v>
      </c>
      <c r="P227" s="119">
        <f t="shared" si="37"/>
        <v>2.710248</v>
      </c>
      <c r="Q227" s="119">
        <f t="shared" si="37"/>
        <v>2.7373313333333331</v>
      </c>
      <c r="R227" s="119">
        <f t="shared" si="37"/>
        <v>2.7373313333333331</v>
      </c>
      <c r="S227" s="119">
        <f t="shared" si="37"/>
        <v>2.7373313333333331</v>
      </c>
      <c r="T227" s="119">
        <f t="shared" si="37"/>
        <v>2.7373313333333331</v>
      </c>
      <c r="U227" s="119"/>
    </row>
    <row r="228" spans="2:21" outlineLevel="1" x14ac:dyDescent="0.2">
      <c r="B228" s="39" t="s">
        <v>97</v>
      </c>
      <c r="C228" s="82" t="s">
        <v>94</v>
      </c>
      <c r="D228" s="120" t="str">
        <f t="shared" si="19"/>
        <v>Heavy DutyR100</v>
      </c>
      <c r="E228" s="121">
        <v>0</v>
      </c>
      <c r="F228" s="121">
        <v>1</v>
      </c>
      <c r="G228" s="119"/>
      <c r="H228" s="119"/>
      <c r="I228" s="119"/>
      <c r="J228" s="119"/>
      <c r="K228" s="119"/>
      <c r="L228" s="119">
        <f t="shared" si="37"/>
        <v>4.7748000000000006E-2</v>
      </c>
      <c r="M228" s="119">
        <f t="shared" si="37"/>
        <v>4.7748000000000006E-2</v>
      </c>
      <c r="N228" s="119">
        <f t="shared" si="37"/>
        <v>4.7748000000000006E-2</v>
      </c>
      <c r="O228" s="119">
        <f t="shared" si="37"/>
        <v>4.7748000000000006E-2</v>
      </c>
      <c r="P228" s="119">
        <f t="shared" si="37"/>
        <v>4.7748000000000006E-2</v>
      </c>
      <c r="Q228" s="119">
        <f t="shared" si="37"/>
        <v>4.7748000000000006E-2</v>
      </c>
      <c r="R228" s="119">
        <f t="shared" si="37"/>
        <v>4.7748000000000006E-2</v>
      </c>
      <c r="S228" s="119">
        <f t="shared" si="37"/>
        <v>4.7748000000000006E-2</v>
      </c>
      <c r="T228" s="119">
        <f t="shared" si="37"/>
        <v>4.7748000000000006E-2</v>
      </c>
      <c r="U228" s="119"/>
    </row>
    <row r="229" spans="2:21" outlineLevel="1" x14ac:dyDescent="0.2">
      <c r="B229" s="39" t="s">
        <v>97</v>
      </c>
      <c r="C229" s="82" t="s">
        <v>71</v>
      </c>
      <c r="D229" s="120" t="str">
        <f t="shared" si="19"/>
        <v>Heavy DutyE100</v>
      </c>
      <c r="E229" s="121">
        <v>0</v>
      </c>
      <c r="F229" s="121">
        <v>1</v>
      </c>
      <c r="G229" s="119"/>
      <c r="H229" s="119"/>
      <c r="I229" s="119"/>
      <c r="J229" s="119"/>
      <c r="K229" s="119"/>
      <c r="L229" s="119">
        <f t="shared" ref="L229:T230" si="38">(($E229*L$115)*$O$6)+(L$149*$O$7)+(L$173*$O$8)</f>
        <v>6.13E-2</v>
      </c>
      <c r="M229" s="119">
        <f t="shared" si="38"/>
        <v>6.13E-2</v>
      </c>
      <c r="N229" s="119">
        <f t="shared" si="38"/>
        <v>6.13E-2</v>
      </c>
      <c r="O229" s="119">
        <f t="shared" si="38"/>
        <v>6.13E-2</v>
      </c>
      <c r="P229" s="119">
        <f t="shared" si="38"/>
        <v>6.13E-2</v>
      </c>
      <c r="Q229" s="119">
        <f t="shared" si="38"/>
        <v>6.13E-2</v>
      </c>
      <c r="R229" s="119">
        <f t="shared" si="38"/>
        <v>6.13E-2</v>
      </c>
      <c r="S229" s="119">
        <f t="shared" si="38"/>
        <v>6.13E-2</v>
      </c>
      <c r="T229" s="119">
        <f t="shared" si="38"/>
        <v>6.13E-2</v>
      </c>
      <c r="U229" s="119"/>
    </row>
    <row r="230" spans="2:21" outlineLevel="1" x14ac:dyDescent="0.2">
      <c r="B230" s="39" t="s">
        <v>97</v>
      </c>
      <c r="C230" s="82" t="s">
        <v>102</v>
      </c>
      <c r="D230" s="120" t="str">
        <f t="shared" si="19"/>
        <v>Heavy DutyE0</v>
      </c>
      <c r="E230" s="121">
        <v>1</v>
      </c>
      <c r="F230" s="121">
        <v>0</v>
      </c>
      <c r="G230" s="119"/>
      <c r="H230" s="119"/>
      <c r="I230" s="119"/>
      <c r="J230" s="119"/>
      <c r="K230" s="119"/>
      <c r="L230" s="119">
        <f t="shared" si="38"/>
        <v>2.3507736842105262</v>
      </c>
      <c r="M230" s="119">
        <f t="shared" si="38"/>
        <v>2.3507736842105262</v>
      </c>
      <c r="N230" s="119">
        <f t="shared" si="38"/>
        <v>2.3507736842105262</v>
      </c>
      <c r="O230" s="119">
        <f t="shared" si="38"/>
        <v>2.3507736842105262</v>
      </c>
      <c r="P230" s="119">
        <f t="shared" si="38"/>
        <v>2.3507736842105262</v>
      </c>
      <c r="Q230" s="119">
        <f t="shared" si="38"/>
        <v>2.3770894736842108</v>
      </c>
      <c r="R230" s="119">
        <f t="shared" si="38"/>
        <v>2.3770894736842108</v>
      </c>
      <c r="S230" s="119">
        <f t="shared" si="38"/>
        <v>2.3770894736842108</v>
      </c>
      <c r="T230" s="119">
        <f t="shared" si="38"/>
        <v>2.3770894736842108</v>
      </c>
      <c r="U230" s="119"/>
    </row>
    <row r="231" spans="2:21" outlineLevel="1" x14ac:dyDescent="0.2">
      <c r="B231" s="59" t="s">
        <v>98</v>
      </c>
      <c r="C231" s="59" t="s">
        <v>52</v>
      </c>
      <c r="D231" s="124" t="str">
        <f t="shared" si="19"/>
        <v>MotorcycleGasoline</v>
      </c>
      <c r="E231" s="125">
        <v>0.95</v>
      </c>
      <c r="F231" s="125">
        <v>0.05</v>
      </c>
      <c r="G231" s="126"/>
      <c r="H231" s="126"/>
      <c r="I231" s="126"/>
      <c r="J231" s="126"/>
      <c r="K231" s="126"/>
      <c r="L231" s="126">
        <f t="shared" ref="L231:T231" si="39">(L128*$O$6)+(L152*$O$7)+(L176*$O$8)</f>
        <v>2.2064679999999997</v>
      </c>
      <c r="M231" s="126">
        <f t="shared" si="39"/>
        <v>2.2064679999999997</v>
      </c>
      <c r="N231" s="126">
        <f t="shared" si="39"/>
        <v>3.1467999999999996E-2</v>
      </c>
      <c r="O231" s="126">
        <f t="shared" si="39"/>
        <v>2.2064679999999997</v>
      </c>
      <c r="P231" s="126">
        <f t="shared" si="39"/>
        <v>2.2064679999999997</v>
      </c>
      <c r="Q231" s="126">
        <f t="shared" si="39"/>
        <v>2.231468</v>
      </c>
      <c r="R231" s="126">
        <f t="shared" si="39"/>
        <v>2.231468</v>
      </c>
      <c r="S231" s="126">
        <f t="shared" si="39"/>
        <v>2.231468</v>
      </c>
      <c r="T231" s="126">
        <f t="shared" si="39"/>
        <v>2.231468</v>
      </c>
      <c r="U231" s="126"/>
    </row>
    <row r="232" spans="2:21" outlineLevel="1" x14ac:dyDescent="0.2">
      <c r="B232" s="59" t="s">
        <v>98</v>
      </c>
      <c r="C232" s="59" t="s">
        <v>70</v>
      </c>
      <c r="D232" s="124" t="str">
        <f t="shared" si="19"/>
        <v>MotorcycleE10</v>
      </c>
      <c r="E232" s="125">
        <v>0.9</v>
      </c>
      <c r="F232" s="125">
        <v>9.9999999999999978E-2</v>
      </c>
      <c r="G232" s="126"/>
      <c r="H232" s="126"/>
      <c r="I232" s="126"/>
      <c r="J232" s="126"/>
      <c r="K232" s="126"/>
      <c r="L232" s="126">
        <f t="shared" ref="L232:T234" si="40">(($E232*L$115)*$O$6)+(L$152*$O$7)+(L$176*$O$8)</f>
        <v>2.0919943157894734</v>
      </c>
      <c r="M232" s="126">
        <f t="shared" si="40"/>
        <v>2.0919943157894734</v>
      </c>
      <c r="N232" s="126">
        <f t="shared" si="40"/>
        <v>2.0919943157894734</v>
      </c>
      <c r="O232" s="126">
        <f t="shared" si="40"/>
        <v>2.0919943157894734</v>
      </c>
      <c r="P232" s="126">
        <f t="shared" si="40"/>
        <v>2.0919943157894734</v>
      </c>
      <c r="Q232" s="126">
        <f t="shared" si="40"/>
        <v>2.1156785263157896</v>
      </c>
      <c r="R232" s="126">
        <f t="shared" si="40"/>
        <v>2.1156785263157896</v>
      </c>
      <c r="S232" s="126">
        <f t="shared" si="40"/>
        <v>2.1156785263157896</v>
      </c>
      <c r="T232" s="126">
        <f t="shared" si="40"/>
        <v>2.1156785263157896</v>
      </c>
      <c r="U232" s="126"/>
    </row>
    <row r="233" spans="2:21" outlineLevel="1" x14ac:dyDescent="0.2">
      <c r="B233" s="59" t="s">
        <v>98</v>
      </c>
      <c r="C233" s="59" t="s">
        <v>71</v>
      </c>
      <c r="D233" s="124" t="str">
        <f t="shared" si="19"/>
        <v>MotorcycleE100</v>
      </c>
      <c r="E233" s="125">
        <v>0</v>
      </c>
      <c r="F233" s="125">
        <v>1</v>
      </c>
      <c r="G233" s="126"/>
      <c r="H233" s="126"/>
      <c r="I233" s="126"/>
      <c r="J233" s="126"/>
      <c r="K233" s="126"/>
      <c r="L233" s="126">
        <f t="shared" si="40"/>
        <v>3.1467999999999996E-2</v>
      </c>
      <c r="M233" s="126">
        <f t="shared" si="40"/>
        <v>3.1467999999999996E-2</v>
      </c>
      <c r="N233" s="126">
        <f t="shared" si="40"/>
        <v>3.1467999999999996E-2</v>
      </c>
      <c r="O233" s="126">
        <f t="shared" si="40"/>
        <v>3.1467999999999996E-2</v>
      </c>
      <c r="P233" s="126">
        <f t="shared" si="40"/>
        <v>3.1467999999999996E-2</v>
      </c>
      <c r="Q233" s="126">
        <f t="shared" si="40"/>
        <v>3.1467999999999996E-2</v>
      </c>
      <c r="R233" s="126">
        <f t="shared" si="40"/>
        <v>3.1467999999999996E-2</v>
      </c>
      <c r="S233" s="126">
        <f t="shared" si="40"/>
        <v>3.1467999999999996E-2</v>
      </c>
      <c r="T233" s="126">
        <f t="shared" si="40"/>
        <v>3.1467999999999996E-2</v>
      </c>
      <c r="U233" s="126"/>
    </row>
    <row r="234" spans="2:21" outlineLevel="1" x14ac:dyDescent="0.2">
      <c r="B234" s="59" t="s">
        <v>98</v>
      </c>
      <c r="C234" s="59" t="s">
        <v>102</v>
      </c>
      <c r="D234" s="124" t="str">
        <f t="shared" si="19"/>
        <v>MotorcycleE0</v>
      </c>
      <c r="E234" s="125">
        <v>1</v>
      </c>
      <c r="F234" s="125">
        <v>0</v>
      </c>
      <c r="G234" s="126"/>
      <c r="H234" s="126"/>
      <c r="I234" s="126"/>
      <c r="J234" s="126"/>
      <c r="K234" s="126"/>
      <c r="L234" s="126">
        <f t="shared" si="40"/>
        <v>2.3209416842105259</v>
      </c>
      <c r="M234" s="126">
        <f t="shared" si="40"/>
        <v>2.3209416842105259</v>
      </c>
      <c r="N234" s="126">
        <f t="shared" si="40"/>
        <v>2.3209416842105259</v>
      </c>
      <c r="O234" s="126">
        <f t="shared" si="40"/>
        <v>2.3209416842105259</v>
      </c>
      <c r="P234" s="126">
        <f t="shared" si="40"/>
        <v>2.3209416842105259</v>
      </c>
      <c r="Q234" s="126">
        <f t="shared" si="40"/>
        <v>2.3472574736842104</v>
      </c>
      <c r="R234" s="126">
        <f t="shared" si="40"/>
        <v>2.3472574736842104</v>
      </c>
      <c r="S234" s="126">
        <f t="shared" si="40"/>
        <v>2.3472574736842104</v>
      </c>
      <c r="T234" s="126">
        <f t="shared" si="40"/>
        <v>2.3472574736842104</v>
      </c>
      <c r="U234" s="126"/>
    </row>
    <row r="235" spans="2:21" outlineLevel="1" x14ac:dyDescent="0.2">
      <c r="B235" s="14" t="s">
        <v>116</v>
      </c>
      <c r="C235" s="94" t="s">
        <v>52</v>
      </c>
      <c r="D235" s="117" t="str">
        <f t="shared" si="19"/>
        <v>Off Road VehicleGasoline</v>
      </c>
      <c r="E235" s="121">
        <v>0.95</v>
      </c>
      <c r="F235" s="121">
        <v>0.05</v>
      </c>
      <c r="G235" s="119"/>
      <c r="H235" s="119"/>
      <c r="I235" s="119"/>
      <c r="J235" s="119"/>
      <c r="K235" s="119"/>
      <c r="L235" s="119">
        <f t="shared" ref="L235:T237" si="41">(L129*$O$6)+(L153*$O$7)+(L177*$O$8)</f>
        <v>2.2573999999999996</v>
      </c>
      <c r="M235" s="119">
        <f t="shared" si="41"/>
        <v>2.2573999999999996</v>
      </c>
      <c r="N235" s="119">
        <f t="shared" si="41"/>
        <v>2.2573999999999996</v>
      </c>
      <c r="O235" s="119">
        <f t="shared" si="41"/>
        <v>2.2573999999999996</v>
      </c>
      <c r="P235" s="119">
        <f t="shared" si="41"/>
        <v>2.2573999999999996</v>
      </c>
      <c r="Q235" s="119">
        <f t="shared" si="41"/>
        <v>2.2824</v>
      </c>
      <c r="R235" s="119">
        <f t="shared" si="41"/>
        <v>2.2824</v>
      </c>
      <c r="S235" s="119">
        <f t="shared" si="41"/>
        <v>2.2824</v>
      </c>
      <c r="T235" s="119">
        <f t="shared" si="41"/>
        <v>2.2824</v>
      </c>
      <c r="U235" s="119"/>
    </row>
    <row r="236" spans="2:21" outlineLevel="1" x14ac:dyDescent="0.2">
      <c r="B236" s="14" t="s">
        <v>116</v>
      </c>
      <c r="C236" s="82" t="s">
        <v>69</v>
      </c>
      <c r="D236" s="120" t="str">
        <f t="shared" si="19"/>
        <v>Off Road VehicleD</v>
      </c>
      <c r="E236" s="118">
        <v>0.96</v>
      </c>
      <c r="F236" s="121">
        <v>0.04</v>
      </c>
      <c r="G236" s="119"/>
      <c r="H236" s="119"/>
      <c r="I236" s="119"/>
      <c r="J236" s="119"/>
      <c r="K236" s="119"/>
      <c r="L236" s="119">
        <f t="shared" si="41"/>
        <v>2.8875500000000001</v>
      </c>
      <c r="M236" s="119">
        <f t="shared" si="41"/>
        <v>2.8875500000000001</v>
      </c>
      <c r="N236" s="119">
        <f t="shared" si="41"/>
        <v>2.8875500000000001</v>
      </c>
      <c r="O236" s="119">
        <f t="shared" si="41"/>
        <v>2.8875500000000001</v>
      </c>
      <c r="P236" s="119">
        <f t="shared" si="41"/>
        <v>2.8875500000000001</v>
      </c>
      <c r="Q236" s="119">
        <f t="shared" si="41"/>
        <v>2.9135499999999999</v>
      </c>
      <c r="R236" s="119">
        <f t="shared" si="41"/>
        <v>2.9135499999999999</v>
      </c>
      <c r="S236" s="119">
        <f t="shared" si="41"/>
        <v>2.9135499999999999</v>
      </c>
      <c r="T236" s="119">
        <f t="shared" si="41"/>
        <v>2.9135499999999999</v>
      </c>
      <c r="U236" s="119"/>
    </row>
    <row r="237" spans="2:21" outlineLevel="1" x14ac:dyDescent="0.2">
      <c r="B237" s="14" t="s">
        <v>116</v>
      </c>
      <c r="C237" s="94" t="s">
        <v>73</v>
      </c>
      <c r="D237" s="117" t="str">
        <f t="shared" si="19"/>
        <v>Off Road VehicleP</v>
      </c>
      <c r="E237" s="118">
        <v>1</v>
      </c>
      <c r="F237" s="118">
        <v>0</v>
      </c>
      <c r="G237" s="119"/>
      <c r="H237" s="119"/>
      <c r="I237" s="119"/>
      <c r="J237" s="119"/>
      <c r="K237" s="119"/>
      <c r="L237" s="119">
        <f t="shared" si="41"/>
        <v>1.5343439999999999</v>
      </c>
      <c r="M237" s="119">
        <f t="shared" si="41"/>
        <v>1.5343439999999999</v>
      </c>
      <c r="N237" s="119">
        <f t="shared" si="41"/>
        <v>1.5343439999999999</v>
      </c>
      <c r="O237" s="119">
        <f t="shared" si="41"/>
        <v>1.5313439999999998</v>
      </c>
      <c r="P237" s="119">
        <f t="shared" si="41"/>
        <v>1.5313439999999998</v>
      </c>
      <c r="Q237" s="119">
        <f t="shared" si="41"/>
        <v>1.5393439999999998</v>
      </c>
      <c r="R237" s="119">
        <f t="shared" si="41"/>
        <v>1.5393439999999998</v>
      </c>
      <c r="S237" s="119">
        <f t="shared" si="41"/>
        <v>1.5393439999999998</v>
      </c>
      <c r="T237" s="119">
        <f t="shared" si="41"/>
        <v>1.5393439999999998</v>
      </c>
      <c r="U237" s="119"/>
    </row>
    <row r="238" spans="2:21" outlineLevel="1" x14ac:dyDescent="0.2">
      <c r="B238" s="129" t="s">
        <v>116</v>
      </c>
      <c r="C238" s="130" t="s">
        <v>66</v>
      </c>
      <c r="D238" s="131" t="str">
        <f t="shared" si="19"/>
        <v>Off Road VehicleCNG</v>
      </c>
      <c r="E238" s="132">
        <v>1</v>
      </c>
      <c r="F238" s="132">
        <v>0</v>
      </c>
      <c r="G238" s="133"/>
      <c r="H238" s="133"/>
      <c r="I238" s="133"/>
      <c r="J238" s="133"/>
      <c r="K238" s="134" t="s">
        <v>113</v>
      </c>
      <c r="L238" s="133">
        <f t="shared" ref="L238:T238" si="42">((L132*$O$6)+(L156*$O$7)+(L180*$O$8))/$F$94</f>
        <v>2.1023447332421341</v>
      </c>
      <c r="M238" s="133">
        <f t="shared" si="42"/>
        <v>2.1023447332421341</v>
      </c>
      <c r="N238" s="133">
        <f t="shared" si="42"/>
        <v>2.1023447332421341</v>
      </c>
      <c r="O238" s="133">
        <f t="shared" si="42"/>
        <v>2.1023447332421341</v>
      </c>
      <c r="P238" s="133">
        <f t="shared" si="42"/>
        <v>2.1023447332421341</v>
      </c>
      <c r="Q238" s="133">
        <f t="shared" si="42"/>
        <v>2.1126046511627909</v>
      </c>
      <c r="R238" s="133">
        <f t="shared" si="42"/>
        <v>2.1126046511627909</v>
      </c>
      <c r="S238" s="133">
        <f t="shared" si="42"/>
        <v>2.1126046511627909</v>
      </c>
      <c r="T238" s="133">
        <f t="shared" si="42"/>
        <v>2.1126046511627909</v>
      </c>
      <c r="U238" s="133"/>
    </row>
    <row r="239" spans="2:21" outlineLevel="1" x14ac:dyDescent="0.2">
      <c r="B239" s="14" t="s">
        <v>116</v>
      </c>
      <c r="C239" s="82" t="s">
        <v>70</v>
      </c>
      <c r="D239" s="120" t="str">
        <f t="shared" si="19"/>
        <v>Off Road VehicleE10</v>
      </c>
      <c r="E239" s="121">
        <v>0.9</v>
      </c>
      <c r="F239" s="121">
        <v>9.9999999999999978E-2</v>
      </c>
      <c r="G239" s="119"/>
      <c r="H239" s="119"/>
      <c r="I239" s="119"/>
      <c r="J239" s="119"/>
      <c r="K239" s="119"/>
      <c r="L239" s="119">
        <f t="shared" ref="L239:T239" si="43">(($E239*L$115)*$O$6)+(L$153*$O$7)+(L$177*$O$8)</f>
        <v>2.1429263157894733</v>
      </c>
      <c r="M239" s="119">
        <f t="shared" si="43"/>
        <v>2.1429263157894733</v>
      </c>
      <c r="N239" s="119">
        <f t="shared" si="43"/>
        <v>2.1429263157894733</v>
      </c>
      <c r="O239" s="119">
        <f t="shared" si="43"/>
        <v>2.1429263157894733</v>
      </c>
      <c r="P239" s="119">
        <f t="shared" si="43"/>
        <v>2.1429263157894733</v>
      </c>
      <c r="Q239" s="119">
        <f t="shared" si="43"/>
        <v>2.1666105263157895</v>
      </c>
      <c r="R239" s="119">
        <f t="shared" si="43"/>
        <v>2.1666105263157895</v>
      </c>
      <c r="S239" s="119">
        <f t="shared" si="43"/>
        <v>2.1666105263157895</v>
      </c>
      <c r="T239" s="119">
        <f t="shared" si="43"/>
        <v>2.1666105263157895</v>
      </c>
      <c r="U239" s="119"/>
    </row>
    <row r="240" spans="2:21" outlineLevel="1" x14ac:dyDescent="0.2">
      <c r="B240" s="14" t="s">
        <v>116</v>
      </c>
      <c r="C240" s="82" t="s">
        <v>65</v>
      </c>
      <c r="D240" s="120" t="str">
        <f t="shared" si="19"/>
        <v>Off Road VehicleB5</v>
      </c>
      <c r="E240" s="121">
        <v>0.95</v>
      </c>
      <c r="F240" s="121">
        <v>5.0000000000000044E-2</v>
      </c>
      <c r="G240" s="119"/>
      <c r="H240" s="119"/>
      <c r="I240" s="119"/>
      <c r="J240" s="119"/>
      <c r="K240" s="119"/>
      <c r="L240" s="119">
        <f t="shared" ref="L240:T246" si="44">(($E240*L$116)*$O$6)+(L$154*$O$7)+(L$178*$O$8)</f>
        <v>2.8609249999999999</v>
      </c>
      <c r="M240" s="119">
        <f t="shared" si="44"/>
        <v>2.8609249999999999</v>
      </c>
      <c r="N240" s="119">
        <f t="shared" si="44"/>
        <v>2.8609249999999999</v>
      </c>
      <c r="O240" s="119">
        <f t="shared" si="44"/>
        <v>2.8609249999999999</v>
      </c>
      <c r="P240" s="119">
        <f t="shared" si="44"/>
        <v>2.8609249999999999</v>
      </c>
      <c r="Q240" s="119">
        <f t="shared" si="44"/>
        <v>2.8866541666666663</v>
      </c>
      <c r="R240" s="119">
        <f t="shared" si="44"/>
        <v>2.8866541666666663</v>
      </c>
      <c r="S240" s="119">
        <f t="shared" si="44"/>
        <v>2.8866541666666663</v>
      </c>
      <c r="T240" s="119">
        <f t="shared" si="44"/>
        <v>2.8866541666666663</v>
      </c>
      <c r="U240" s="119"/>
    </row>
    <row r="241" spans="2:21" outlineLevel="1" x14ac:dyDescent="0.2">
      <c r="B241" s="14" t="s">
        <v>116</v>
      </c>
      <c r="C241" s="82" t="s">
        <v>114</v>
      </c>
      <c r="D241" s="120" t="str">
        <f t="shared" si="19"/>
        <v>Off Road VehicleB10</v>
      </c>
      <c r="E241" s="121">
        <v>0.9</v>
      </c>
      <c r="F241" s="121">
        <v>9.9999999999999978E-2</v>
      </c>
      <c r="G241" s="119"/>
      <c r="H241" s="119"/>
      <c r="I241" s="119"/>
      <c r="J241" s="119"/>
      <c r="K241" s="119"/>
      <c r="L241" s="119">
        <f t="shared" si="44"/>
        <v>2.7278000000000002</v>
      </c>
      <c r="M241" s="119">
        <f t="shared" si="44"/>
        <v>2.7278000000000002</v>
      </c>
      <c r="N241" s="119">
        <f t="shared" si="44"/>
        <v>2.7278000000000002</v>
      </c>
      <c r="O241" s="119">
        <f t="shared" si="44"/>
        <v>2.7278000000000002</v>
      </c>
      <c r="P241" s="119">
        <f t="shared" si="44"/>
        <v>2.7278000000000002</v>
      </c>
      <c r="Q241" s="119">
        <f t="shared" si="44"/>
        <v>2.7521749999999998</v>
      </c>
      <c r="R241" s="119">
        <f t="shared" si="44"/>
        <v>2.7521749999999998</v>
      </c>
      <c r="S241" s="119">
        <f t="shared" si="44"/>
        <v>2.7521749999999998</v>
      </c>
      <c r="T241" s="119">
        <f t="shared" si="44"/>
        <v>2.7521749999999998</v>
      </c>
      <c r="U241" s="119"/>
    </row>
    <row r="242" spans="2:21" outlineLevel="1" x14ac:dyDescent="0.2">
      <c r="B242" s="14" t="s">
        <v>116</v>
      </c>
      <c r="C242" s="82" t="s">
        <v>63</v>
      </c>
      <c r="D242" s="120" t="str">
        <f t="shared" si="19"/>
        <v>Off Road VehicleB20</v>
      </c>
      <c r="E242" s="121">
        <v>0.8</v>
      </c>
      <c r="F242" s="121">
        <v>0.19999999999999996</v>
      </c>
      <c r="G242" s="119"/>
      <c r="H242" s="119"/>
      <c r="I242" s="119"/>
      <c r="J242" s="119"/>
      <c r="K242" s="119"/>
      <c r="L242" s="119">
        <f t="shared" si="44"/>
        <v>2.4615500000000003</v>
      </c>
      <c r="M242" s="119">
        <f t="shared" si="44"/>
        <v>2.4615500000000003</v>
      </c>
      <c r="N242" s="119">
        <f t="shared" si="44"/>
        <v>2.4615500000000003</v>
      </c>
      <c r="O242" s="119">
        <f t="shared" si="44"/>
        <v>2.4615500000000003</v>
      </c>
      <c r="P242" s="119">
        <f t="shared" si="44"/>
        <v>2.4615500000000003</v>
      </c>
      <c r="Q242" s="119">
        <f t="shared" si="44"/>
        <v>2.4832166666666668</v>
      </c>
      <c r="R242" s="119">
        <f t="shared" si="44"/>
        <v>2.4832166666666668</v>
      </c>
      <c r="S242" s="119">
        <f t="shared" si="44"/>
        <v>2.4832166666666668</v>
      </c>
      <c r="T242" s="119">
        <f t="shared" si="44"/>
        <v>2.4832166666666668</v>
      </c>
      <c r="U242" s="119"/>
    </row>
    <row r="243" spans="2:21" outlineLevel="1" x14ac:dyDescent="0.2">
      <c r="B243" s="14" t="s">
        <v>116</v>
      </c>
      <c r="C243" s="82" t="s">
        <v>115</v>
      </c>
      <c r="D243" s="120" t="str">
        <f t="shared" si="19"/>
        <v>Off Road VehicleB50</v>
      </c>
      <c r="E243" s="121">
        <v>0.5</v>
      </c>
      <c r="F243" s="121">
        <v>0.5</v>
      </c>
      <c r="G243" s="119"/>
      <c r="H243" s="119"/>
      <c r="I243" s="119"/>
      <c r="J243" s="119"/>
      <c r="K243" s="119"/>
      <c r="L243" s="119">
        <f t="shared" si="44"/>
        <v>1.6628000000000001</v>
      </c>
      <c r="M243" s="119">
        <f t="shared" si="44"/>
        <v>1.6628000000000001</v>
      </c>
      <c r="N243" s="119">
        <f t="shared" si="44"/>
        <v>1.6628000000000001</v>
      </c>
      <c r="O243" s="119">
        <f t="shared" si="44"/>
        <v>1.6628000000000001</v>
      </c>
      <c r="P243" s="119">
        <f t="shared" si="44"/>
        <v>1.6628000000000001</v>
      </c>
      <c r="Q243" s="119">
        <f t="shared" si="44"/>
        <v>1.6763416666666666</v>
      </c>
      <c r="R243" s="119">
        <f t="shared" si="44"/>
        <v>1.6763416666666666</v>
      </c>
      <c r="S243" s="119">
        <f t="shared" si="44"/>
        <v>1.6763416666666666</v>
      </c>
      <c r="T243" s="119">
        <f t="shared" si="44"/>
        <v>1.6763416666666666</v>
      </c>
      <c r="U243" s="119"/>
    </row>
    <row r="244" spans="2:21" outlineLevel="1" x14ac:dyDescent="0.2">
      <c r="B244" s="14" t="s">
        <v>116</v>
      </c>
      <c r="C244" s="82" t="s">
        <v>61</v>
      </c>
      <c r="D244" s="120" t="str">
        <f t="shared" si="19"/>
        <v>Off Road VehicleB100</v>
      </c>
      <c r="E244" s="121">
        <v>0</v>
      </c>
      <c r="F244" s="121">
        <v>1</v>
      </c>
      <c r="G244" s="119"/>
      <c r="H244" s="119"/>
      <c r="I244" s="119"/>
      <c r="J244" s="119"/>
      <c r="K244" s="119"/>
      <c r="L244" s="119">
        <f t="shared" si="44"/>
        <v>0.33155000000000001</v>
      </c>
      <c r="M244" s="119">
        <f t="shared" si="44"/>
        <v>0.33155000000000001</v>
      </c>
      <c r="N244" s="119">
        <f t="shared" si="44"/>
        <v>0.33155000000000001</v>
      </c>
      <c r="O244" s="119">
        <f t="shared" si="44"/>
        <v>0.33155000000000001</v>
      </c>
      <c r="P244" s="119">
        <f t="shared" si="44"/>
        <v>0.33155000000000001</v>
      </c>
      <c r="Q244" s="119">
        <f t="shared" si="44"/>
        <v>0.33155000000000001</v>
      </c>
      <c r="R244" s="119">
        <f t="shared" si="44"/>
        <v>0.33155000000000001</v>
      </c>
      <c r="S244" s="119">
        <f t="shared" si="44"/>
        <v>0.33155000000000001</v>
      </c>
      <c r="T244" s="119">
        <f t="shared" si="44"/>
        <v>0.33155000000000001</v>
      </c>
      <c r="U244" s="119"/>
    </row>
    <row r="245" spans="2:21" outlineLevel="1" x14ac:dyDescent="0.2">
      <c r="B245" s="14" t="s">
        <v>116</v>
      </c>
      <c r="C245" s="82" t="s">
        <v>104</v>
      </c>
      <c r="D245" s="120" t="str">
        <f t="shared" si="19"/>
        <v>Off Road VehicleB0</v>
      </c>
      <c r="E245" s="121">
        <v>1</v>
      </c>
      <c r="F245" s="121">
        <v>0</v>
      </c>
      <c r="G245" s="119"/>
      <c r="H245" s="119"/>
      <c r="I245" s="119"/>
      <c r="J245" s="119"/>
      <c r="K245" s="119"/>
      <c r="L245" s="119">
        <f t="shared" si="44"/>
        <v>2.9940500000000001</v>
      </c>
      <c r="M245" s="119">
        <f t="shared" si="44"/>
        <v>2.9940500000000001</v>
      </c>
      <c r="N245" s="119">
        <f t="shared" si="44"/>
        <v>2.9940500000000001</v>
      </c>
      <c r="O245" s="119">
        <f t="shared" si="44"/>
        <v>2.9940500000000001</v>
      </c>
      <c r="P245" s="119">
        <f t="shared" si="44"/>
        <v>2.9940500000000001</v>
      </c>
      <c r="Q245" s="119">
        <f t="shared" si="44"/>
        <v>3.0211333333333332</v>
      </c>
      <c r="R245" s="119">
        <f t="shared" si="44"/>
        <v>3.0211333333333332</v>
      </c>
      <c r="S245" s="119">
        <f t="shared" si="44"/>
        <v>3.0211333333333332</v>
      </c>
      <c r="T245" s="119">
        <f t="shared" si="44"/>
        <v>3.0211333333333332</v>
      </c>
      <c r="U245" s="119"/>
    </row>
    <row r="246" spans="2:21" outlineLevel="1" x14ac:dyDescent="0.2">
      <c r="B246" s="14" t="s">
        <v>116</v>
      </c>
      <c r="C246" s="82" t="s">
        <v>94</v>
      </c>
      <c r="D246" s="120" t="str">
        <f t="shared" si="19"/>
        <v>Off Road VehicleR100</v>
      </c>
      <c r="E246" s="121">
        <v>0</v>
      </c>
      <c r="F246" s="121">
        <v>1</v>
      </c>
      <c r="G246" s="119"/>
      <c r="H246" s="119"/>
      <c r="I246" s="119"/>
      <c r="J246" s="119"/>
      <c r="K246" s="119"/>
      <c r="L246" s="119">
        <f t="shared" si="44"/>
        <v>0.33155000000000001</v>
      </c>
      <c r="M246" s="119">
        <f t="shared" si="44"/>
        <v>0.33155000000000001</v>
      </c>
      <c r="N246" s="119">
        <f t="shared" si="44"/>
        <v>0.33155000000000001</v>
      </c>
      <c r="O246" s="119">
        <f t="shared" si="44"/>
        <v>0.33155000000000001</v>
      </c>
      <c r="P246" s="119">
        <f t="shared" si="44"/>
        <v>0.33155000000000001</v>
      </c>
      <c r="Q246" s="119">
        <f t="shared" si="44"/>
        <v>0.33155000000000001</v>
      </c>
      <c r="R246" s="119">
        <f t="shared" si="44"/>
        <v>0.33155000000000001</v>
      </c>
      <c r="S246" s="119">
        <f t="shared" si="44"/>
        <v>0.33155000000000001</v>
      </c>
      <c r="T246" s="119">
        <f t="shared" si="44"/>
        <v>0.33155000000000001</v>
      </c>
      <c r="U246" s="119"/>
    </row>
    <row r="247" spans="2:21" outlineLevel="1" x14ac:dyDescent="0.2">
      <c r="B247" s="14" t="s">
        <v>116</v>
      </c>
      <c r="C247" s="82" t="s">
        <v>71</v>
      </c>
      <c r="D247" s="120" t="str">
        <f t="shared" si="19"/>
        <v>Off Road VehicleE100</v>
      </c>
      <c r="E247" s="121">
        <v>0</v>
      </c>
      <c r="F247" s="121">
        <v>1</v>
      </c>
      <c r="G247" s="119"/>
      <c r="H247" s="119"/>
      <c r="I247" s="119"/>
      <c r="J247" s="119"/>
      <c r="K247" s="119"/>
      <c r="L247" s="119">
        <f t="shared" ref="L247:T248" si="45">(($E247*L$115)*$O$6)+(L$153*$O$7)+(L$177*$O$8)</f>
        <v>8.2400000000000001E-2</v>
      </c>
      <c r="M247" s="119">
        <f t="shared" si="45"/>
        <v>8.2400000000000001E-2</v>
      </c>
      <c r="N247" s="119">
        <f t="shared" si="45"/>
        <v>8.2400000000000001E-2</v>
      </c>
      <c r="O247" s="119">
        <f t="shared" si="45"/>
        <v>8.2400000000000001E-2</v>
      </c>
      <c r="P247" s="119">
        <f t="shared" si="45"/>
        <v>8.2400000000000001E-2</v>
      </c>
      <c r="Q247" s="119">
        <f t="shared" si="45"/>
        <v>8.2400000000000001E-2</v>
      </c>
      <c r="R247" s="119">
        <f t="shared" si="45"/>
        <v>8.2400000000000001E-2</v>
      </c>
      <c r="S247" s="119">
        <f t="shared" si="45"/>
        <v>8.2400000000000001E-2</v>
      </c>
      <c r="T247" s="119">
        <f t="shared" si="45"/>
        <v>8.2400000000000001E-2</v>
      </c>
      <c r="U247" s="119"/>
    </row>
    <row r="248" spans="2:21" outlineLevel="1" x14ac:dyDescent="0.2">
      <c r="B248" s="14" t="s">
        <v>116</v>
      </c>
      <c r="C248" s="82" t="s">
        <v>102</v>
      </c>
      <c r="D248" s="120" t="str">
        <f t="shared" si="19"/>
        <v>Off Road VehicleE0</v>
      </c>
      <c r="E248" s="121">
        <v>1</v>
      </c>
      <c r="F248" s="121">
        <v>0</v>
      </c>
      <c r="G248" s="119"/>
      <c r="H248" s="119"/>
      <c r="I248" s="119"/>
      <c r="J248" s="119"/>
      <c r="K248" s="119"/>
      <c r="L248" s="119">
        <f t="shared" si="45"/>
        <v>2.3718736842105259</v>
      </c>
      <c r="M248" s="119">
        <f t="shared" si="45"/>
        <v>2.3718736842105259</v>
      </c>
      <c r="N248" s="119">
        <f t="shared" si="45"/>
        <v>2.3718736842105259</v>
      </c>
      <c r="O248" s="119">
        <f t="shared" si="45"/>
        <v>2.3718736842105259</v>
      </c>
      <c r="P248" s="119">
        <f t="shared" si="45"/>
        <v>2.3718736842105259</v>
      </c>
      <c r="Q248" s="119">
        <f t="shared" si="45"/>
        <v>2.3981894736842104</v>
      </c>
      <c r="R248" s="119">
        <f t="shared" si="45"/>
        <v>2.3981894736842104</v>
      </c>
      <c r="S248" s="119">
        <f t="shared" si="45"/>
        <v>2.3981894736842104</v>
      </c>
      <c r="T248" s="119">
        <f t="shared" si="45"/>
        <v>2.3981894736842104</v>
      </c>
      <c r="U248" s="119"/>
    </row>
    <row r="249" spans="2:21" outlineLevel="1" x14ac:dyDescent="0.2">
      <c r="B249" s="59" t="s">
        <v>100</v>
      </c>
      <c r="C249" s="59" t="s">
        <v>52</v>
      </c>
      <c r="D249" s="124" t="str">
        <f t="shared" si="19"/>
        <v>MarineGasoline</v>
      </c>
      <c r="E249" s="125">
        <v>0.95</v>
      </c>
      <c r="F249" s="125">
        <v>0.05</v>
      </c>
      <c r="G249" s="126"/>
      <c r="H249" s="126"/>
      <c r="I249" s="126"/>
      <c r="J249" s="126"/>
      <c r="K249" s="126"/>
      <c r="L249" s="126">
        <f t="shared" ref="L249:T251" si="46">(L133*$O$6)+(L157*$O$7)+(L181*$O$8)</f>
        <v>2.2271679999999998</v>
      </c>
      <c r="M249" s="126">
        <f t="shared" si="46"/>
        <v>2.2271679999999998</v>
      </c>
      <c r="N249" s="126">
        <f t="shared" si="46"/>
        <v>2.2271679999999998</v>
      </c>
      <c r="O249" s="126">
        <f t="shared" si="46"/>
        <v>2.2271679999999998</v>
      </c>
      <c r="P249" s="126">
        <f t="shared" si="46"/>
        <v>2.2271679999999998</v>
      </c>
      <c r="Q249" s="126">
        <f t="shared" si="46"/>
        <v>2.2521680000000002</v>
      </c>
      <c r="R249" s="126">
        <f t="shared" si="46"/>
        <v>2.2521680000000002</v>
      </c>
      <c r="S249" s="126">
        <f t="shared" si="46"/>
        <v>2.2521680000000002</v>
      </c>
      <c r="T249" s="126">
        <f t="shared" si="46"/>
        <v>2.2521680000000002</v>
      </c>
      <c r="U249" s="126"/>
    </row>
    <row r="250" spans="2:21" outlineLevel="1" x14ac:dyDescent="0.2">
      <c r="B250" s="59" t="s">
        <v>100</v>
      </c>
      <c r="C250" s="59" t="s">
        <v>69</v>
      </c>
      <c r="D250" s="124" t="str">
        <f t="shared" si="19"/>
        <v>MarineD</v>
      </c>
      <c r="E250" s="125">
        <v>0.96</v>
      </c>
      <c r="F250" s="125">
        <v>0.04</v>
      </c>
      <c r="G250" s="126"/>
      <c r="H250" s="126"/>
      <c r="I250" s="126"/>
      <c r="J250" s="126"/>
      <c r="K250" s="126"/>
      <c r="L250" s="126">
        <f t="shared" si="46"/>
        <v>2.8875500000000001</v>
      </c>
      <c r="M250" s="126">
        <f t="shared" si="46"/>
        <v>2.8875500000000001</v>
      </c>
      <c r="N250" s="126">
        <f t="shared" si="46"/>
        <v>2.8875500000000001</v>
      </c>
      <c r="O250" s="126">
        <f t="shared" si="46"/>
        <v>2.8875500000000001</v>
      </c>
      <c r="P250" s="126">
        <f t="shared" si="46"/>
        <v>2.8875500000000001</v>
      </c>
      <c r="Q250" s="126">
        <f t="shared" si="46"/>
        <v>2.9135499999999999</v>
      </c>
      <c r="R250" s="126">
        <f t="shared" si="46"/>
        <v>2.9135499999999999</v>
      </c>
      <c r="S250" s="126">
        <f t="shared" si="46"/>
        <v>2.9135499999999999</v>
      </c>
      <c r="T250" s="126">
        <f t="shared" si="46"/>
        <v>2.9135499999999999</v>
      </c>
      <c r="U250" s="126"/>
    </row>
    <row r="251" spans="2:21" outlineLevel="1" x14ac:dyDescent="0.2">
      <c r="B251" s="59" t="s">
        <v>100</v>
      </c>
      <c r="C251" s="59" t="s">
        <v>73</v>
      </c>
      <c r="D251" s="124" t="str">
        <f t="shared" si="19"/>
        <v>MarineP</v>
      </c>
      <c r="E251" s="125">
        <v>1</v>
      </c>
      <c r="F251" s="125">
        <v>0</v>
      </c>
      <c r="G251" s="126"/>
      <c r="H251" s="126"/>
      <c r="I251" s="126"/>
      <c r="J251" s="126"/>
      <c r="K251" s="126"/>
      <c r="L251" s="126">
        <f t="shared" si="46"/>
        <v>1.5343439999999999</v>
      </c>
      <c r="M251" s="126">
        <f t="shared" si="46"/>
        <v>1.5343439999999999</v>
      </c>
      <c r="N251" s="126">
        <f t="shared" si="46"/>
        <v>1.5343439999999999</v>
      </c>
      <c r="O251" s="126">
        <f t="shared" si="46"/>
        <v>1.5313439999999998</v>
      </c>
      <c r="P251" s="126">
        <f t="shared" si="46"/>
        <v>1.5313439999999998</v>
      </c>
      <c r="Q251" s="126">
        <f t="shared" si="46"/>
        <v>1.5393439999999998</v>
      </c>
      <c r="R251" s="126">
        <f t="shared" si="46"/>
        <v>1.5393439999999998</v>
      </c>
      <c r="S251" s="126">
        <f t="shared" si="46"/>
        <v>1.5393439999999998</v>
      </c>
      <c r="T251" s="126">
        <f t="shared" si="46"/>
        <v>1.5393439999999998</v>
      </c>
      <c r="U251" s="126"/>
    </row>
    <row r="252" spans="2:21" outlineLevel="1" x14ac:dyDescent="0.2">
      <c r="B252" s="59" t="s">
        <v>100</v>
      </c>
      <c r="C252" s="59" t="s">
        <v>70</v>
      </c>
      <c r="D252" s="124" t="str">
        <f t="shared" si="19"/>
        <v>MarineE10</v>
      </c>
      <c r="E252" s="125">
        <v>0.9</v>
      </c>
      <c r="F252" s="125">
        <v>9.9999999999999978E-2</v>
      </c>
      <c r="G252" s="126"/>
      <c r="H252" s="126"/>
      <c r="I252" s="126"/>
      <c r="J252" s="126"/>
      <c r="K252" s="126"/>
      <c r="L252" s="126">
        <f t="shared" ref="L252:T252" si="47">(($E252*L$115)*$O$6)+(L$157*$O$7)+(L$181*$O$8)</f>
        <v>2.1126943157894735</v>
      </c>
      <c r="M252" s="126">
        <f t="shared" si="47"/>
        <v>2.1126943157894735</v>
      </c>
      <c r="N252" s="126">
        <f t="shared" si="47"/>
        <v>2.1126943157894735</v>
      </c>
      <c r="O252" s="126">
        <f t="shared" si="47"/>
        <v>2.1126943157894735</v>
      </c>
      <c r="P252" s="126">
        <f t="shared" si="47"/>
        <v>2.1126943157894735</v>
      </c>
      <c r="Q252" s="126">
        <f t="shared" si="47"/>
        <v>2.1363785263157897</v>
      </c>
      <c r="R252" s="126">
        <f t="shared" si="47"/>
        <v>2.1363785263157897</v>
      </c>
      <c r="S252" s="126">
        <f t="shared" si="47"/>
        <v>2.1363785263157897</v>
      </c>
      <c r="T252" s="126">
        <f t="shared" si="47"/>
        <v>2.1363785263157897</v>
      </c>
      <c r="U252" s="126"/>
    </row>
    <row r="253" spans="2:21" outlineLevel="1" x14ac:dyDescent="0.2">
      <c r="B253" s="59" t="s">
        <v>100</v>
      </c>
      <c r="C253" s="59" t="s">
        <v>65</v>
      </c>
      <c r="D253" s="124" t="str">
        <f t="shared" si="19"/>
        <v>MarineB5</v>
      </c>
      <c r="E253" s="125">
        <v>0.95</v>
      </c>
      <c r="F253" s="125">
        <v>5.0000000000000044E-2</v>
      </c>
      <c r="G253" s="126"/>
      <c r="H253" s="126"/>
      <c r="I253" s="126"/>
      <c r="J253" s="126"/>
      <c r="K253" s="126"/>
      <c r="L253" s="126">
        <f t="shared" ref="L253:T259" si="48">(($E253*L$116)*$O$6)+(L$158*$O$7)+(L$182*$O$8)</f>
        <v>2.8609249999999999</v>
      </c>
      <c r="M253" s="126">
        <f t="shared" si="48"/>
        <v>2.8609249999999999</v>
      </c>
      <c r="N253" s="126">
        <f t="shared" si="48"/>
        <v>2.8609249999999999</v>
      </c>
      <c r="O253" s="126">
        <f t="shared" si="48"/>
        <v>2.8609249999999999</v>
      </c>
      <c r="P253" s="126">
        <f t="shared" si="48"/>
        <v>2.8609249999999999</v>
      </c>
      <c r="Q253" s="126">
        <f t="shared" si="48"/>
        <v>2.8866541666666663</v>
      </c>
      <c r="R253" s="126">
        <f t="shared" si="48"/>
        <v>2.8866541666666663</v>
      </c>
      <c r="S253" s="126">
        <f t="shared" si="48"/>
        <v>2.8866541666666663</v>
      </c>
      <c r="T253" s="126">
        <f t="shared" si="48"/>
        <v>2.8866541666666663</v>
      </c>
      <c r="U253" s="126"/>
    </row>
    <row r="254" spans="2:21" outlineLevel="1" x14ac:dyDescent="0.2">
      <c r="B254" s="59" t="s">
        <v>100</v>
      </c>
      <c r="C254" s="59" t="s">
        <v>114</v>
      </c>
      <c r="D254" s="124" t="str">
        <f t="shared" si="19"/>
        <v>MarineB10</v>
      </c>
      <c r="E254" s="125">
        <v>0.9</v>
      </c>
      <c r="F254" s="125">
        <v>9.9999999999999978E-2</v>
      </c>
      <c r="G254" s="126"/>
      <c r="H254" s="126"/>
      <c r="I254" s="126"/>
      <c r="J254" s="126"/>
      <c r="K254" s="126"/>
      <c r="L254" s="126">
        <f t="shared" si="48"/>
        <v>2.7278000000000002</v>
      </c>
      <c r="M254" s="126">
        <f t="shared" si="48"/>
        <v>2.7278000000000002</v>
      </c>
      <c r="N254" s="126">
        <f t="shared" si="48"/>
        <v>2.7278000000000002</v>
      </c>
      <c r="O254" s="126">
        <f t="shared" si="48"/>
        <v>2.7278000000000002</v>
      </c>
      <c r="P254" s="126">
        <f t="shared" si="48"/>
        <v>2.7278000000000002</v>
      </c>
      <c r="Q254" s="126">
        <f t="shared" si="48"/>
        <v>2.7521749999999998</v>
      </c>
      <c r="R254" s="126">
        <f t="shared" si="48"/>
        <v>2.7521749999999998</v>
      </c>
      <c r="S254" s="126">
        <f t="shared" si="48"/>
        <v>2.7521749999999998</v>
      </c>
      <c r="T254" s="126">
        <f t="shared" si="48"/>
        <v>2.7521749999999998</v>
      </c>
      <c r="U254" s="126"/>
    </row>
    <row r="255" spans="2:21" outlineLevel="1" x14ac:dyDescent="0.2">
      <c r="B255" s="59" t="s">
        <v>100</v>
      </c>
      <c r="C255" s="59" t="s">
        <v>63</v>
      </c>
      <c r="D255" s="124" t="str">
        <f t="shared" si="19"/>
        <v>MarineB20</v>
      </c>
      <c r="E255" s="125">
        <v>0.8</v>
      </c>
      <c r="F255" s="125">
        <v>0.19999999999999996</v>
      </c>
      <c r="G255" s="126"/>
      <c r="H255" s="126"/>
      <c r="I255" s="126"/>
      <c r="J255" s="126"/>
      <c r="K255" s="126"/>
      <c r="L255" s="126">
        <f t="shared" si="48"/>
        <v>2.4615500000000003</v>
      </c>
      <c r="M255" s="126">
        <f t="shared" si="48"/>
        <v>2.4615500000000003</v>
      </c>
      <c r="N255" s="126">
        <f t="shared" si="48"/>
        <v>2.4615500000000003</v>
      </c>
      <c r="O255" s="126">
        <f t="shared" si="48"/>
        <v>2.4615500000000003</v>
      </c>
      <c r="P255" s="126">
        <f t="shared" si="48"/>
        <v>2.4615500000000003</v>
      </c>
      <c r="Q255" s="126">
        <f t="shared" si="48"/>
        <v>2.4832166666666668</v>
      </c>
      <c r="R255" s="126">
        <f t="shared" si="48"/>
        <v>2.4832166666666668</v>
      </c>
      <c r="S255" s="126">
        <f t="shared" si="48"/>
        <v>2.4832166666666668</v>
      </c>
      <c r="T255" s="126">
        <f t="shared" si="48"/>
        <v>2.4832166666666668</v>
      </c>
      <c r="U255" s="126"/>
    </row>
    <row r="256" spans="2:21" outlineLevel="1" x14ac:dyDescent="0.2">
      <c r="B256" s="59" t="s">
        <v>100</v>
      </c>
      <c r="C256" s="59" t="s">
        <v>115</v>
      </c>
      <c r="D256" s="124" t="str">
        <f t="shared" si="19"/>
        <v>MarineB50</v>
      </c>
      <c r="E256" s="125">
        <v>0.5</v>
      </c>
      <c r="F256" s="125">
        <v>0.5</v>
      </c>
      <c r="G256" s="126"/>
      <c r="H256" s="126"/>
      <c r="I256" s="126"/>
      <c r="J256" s="126"/>
      <c r="K256" s="126"/>
      <c r="L256" s="126">
        <f t="shared" si="48"/>
        <v>1.6628000000000001</v>
      </c>
      <c r="M256" s="126">
        <f t="shared" si="48"/>
        <v>1.6628000000000001</v>
      </c>
      <c r="N256" s="126">
        <f t="shared" si="48"/>
        <v>1.6628000000000001</v>
      </c>
      <c r="O256" s="126">
        <f t="shared" si="48"/>
        <v>1.6628000000000001</v>
      </c>
      <c r="P256" s="126">
        <f t="shared" si="48"/>
        <v>1.6628000000000001</v>
      </c>
      <c r="Q256" s="126">
        <f t="shared" si="48"/>
        <v>1.6763416666666666</v>
      </c>
      <c r="R256" s="126">
        <f t="shared" si="48"/>
        <v>1.6763416666666666</v>
      </c>
      <c r="S256" s="126">
        <f t="shared" si="48"/>
        <v>1.6763416666666666</v>
      </c>
      <c r="T256" s="126">
        <f t="shared" si="48"/>
        <v>1.6763416666666666</v>
      </c>
      <c r="U256" s="126"/>
    </row>
    <row r="257" spans="1:35" outlineLevel="1" x14ac:dyDescent="0.2">
      <c r="B257" s="59" t="s">
        <v>100</v>
      </c>
      <c r="C257" s="59" t="s">
        <v>61</v>
      </c>
      <c r="D257" s="124" t="str">
        <f t="shared" si="19"/>
        <v>MarineB100</v>
      </c>
      <c r="E257" s="125">
        <v>0</v>
      </c>
      <c r="F257" s="125">
        <v>1</v>
      </c>
      <c r="G257" s="126"/>
      <c r="H257" s="126"/>
      <c r="I257" s="126"/>
      <c r="J257" s="126"/>
      <c r="K257" s="126"/>
      <c r="L257" s="126">
        <f t="shared" si="48"/>
        <v>0.33155000000000001</v>
      </c>
      <c r="M257" s="126">
        <f t="shared" si="48"/>
        <v>0.33155000000000001</v>
      </c>
      <c r="N257" s="126">
        <f t="shared" si="48"/>
        <v>0.33155000000000001</v>
      </c>
      <c r="O257" s="126">
        <f t="shared" si="48"/>
        <v>0.33155000000000001</v>
      </c>
      <c r="P257" s="126">
        <f t="shared" si="48"/>
        <v>0.33155000000000001</v>
      </c>
      <c r="Q257" s="126">
        <f t="shared" si="48"/>
        <v>0.33155000000000001</v>
      </c>
      <c r="R257" s="126">
        <f t="shared" si="48"/>
        <v>0.33155000000000001</v>
      </c>
      <c r="S257" s="126">
        <f t="shared" si="48"/>
        <v>0.33155000000000001</v>
      </c>
      <c r="T257" s="126">
        <f t="shared" si="48"/>
        <v>0.33155000000000001</v>
      </c>
      <c r="U257" s="126"/>
    </row>
    <row r="258" spans="1:35" outlineLevel="1" x14ac:dyDescent="0.2">
      <c r="B258" s="59" t="s">
        <v>100</v>
      </c>
      <c r="C258" s="59" t="s">
        <v>104</v>
      </c>
      <c r="D258" s="124" t="str">
        <f t="shared" si="19"/>
        <v>MarineB0</v>
      </c>
      <c r="E258" s="125">
        <v>1</v>
      </c>
      <c r="F258" s="125">
        <v>0</v>
      </c>
      <c r="G258" s="126"/>
      <c r="H258" s="126"/>
      <c r="I258" s="126"/>
      <c r="J258" s="126"/>
      <c r="K258" s="126"/>
      <c r="L258" s="126">
        <f t="shared" si="48"/>
        <v>2.9940500000000001</v>
      </c>
      <c r="M258" s="126">
        <f t="shared" si="48"/>
        <v>2.9940500000000001</v>
      </c>
      <c r="N258" s="126">
        <f t="shared" si="48"/>
        <v>2.9940500000000001</v>
      </c>
      <c r="O258" s="126">
        <f t="shared" si="48"/>
        <v>2.9940500000000001</v>
      </c>
      <c r="P258" s="126">
        <f t="shared" si="48"/>
        <v>2.9940500000000001</v>
      </c>
      <c r="Q258" s="126">
        <f t="shared" si="48"/>
        <v>3.0211333333333332</v>
      </c>
      <c r="R258" s="126">
        <f t="shared" si="48"/>
        <v>3.0211333333333332</v>
      </c>
      <c r="S258" s="126">
        <f t="shared" si="48"/>
        <v>3.0211333333333332</v>
      </c>
      <c r="T258" s="126">
        <f t="shared" si="48"/>
        <v>3.0211333333333332</v>
      </c>
      <c r="U258" s="126"/>
    </row>
    <row r="259" spans="1:35" outlineLevel="1" x14ac:dyDescent="0.2">
      <c r="B259" s="59" t="s">
        <v>100</v>
      </c>
      <c r="C259" s="59" t="s">
        <v>94</v>
      </c>
      <c r="D259" s="124" t="str">
        <f t="shared" si="19"/>
        <v>MarineR100</v>
      </c>
      <c r="E259" s="125">
        <v>0</v>
      </c>
      <c r="F259" s="125">
        <v>1</v>
      </c>
      <c r="G259" s="126"/>
      <c r="H259" s="126"/>
      <c r="I259" s="126"/>
      <c r="J259" s="126"/>
      <c r="K259" s="126"/>
      <c r="L259" s="126">
        <f t="shared" si="48"/>
        <v>0.33155000000000001</v>
      </c>
      <c r="M259" s="126">
        <f t="shared" si="48"/>
        <v>0.33155000000000001</v>
      </c>
      <c r="N259" s="126">
        <f t="shared" si="48"/>
        <v>0.33155000000000001</v>
      </c>
      <c r="O259" s="126">
        <f t="shared" si="48"/>
        <v>0.33155000000000001</v>
      </c>
      <c r="P259" s="126">
        <f t="shared" si="48"/>
        <v>0.33155000000000001</v>
      </c>
      <c r="Q259" s="126">
        <f t="shared" si="48"/>
        <v>0.33155000000000001</v>
      </c>
      <c r="R259" s="126">
        <f t="shared" si="48"/>
        <v>0.33155000000000001</v>
      </c>
      <c r="S259" s="126">
        <f t="shared" si="48"/>
        <v>0.33155000000000001</v>
      </c>
      <c r="T259" s="126">
        <f t="shared" si="48"/>
        <v>0.33155000000000001</v>
      </c>
      <c r="U259" s="126"/>
    </row>
    <row r="260" spans="1:35" outlineLevel="1" x14ac:dyDescent="0.2">
      <c r="B260" s="59" t="s">
        <v>100</v>
      </c>
      <c r="C260" s="59" t="s">
        <v>71</v>
      </c>
      <c r="D260" s="124" t="str">
        <f t="shared" si="19"/>
        <v>MarineE100</v>
      </c>
      <c r="E260" s="125">
        <v>0</v>
      </c>
      <c r="F260" s="125">
        <v>1</v>
      </c>
      <c r="G260" s="126"/>
      <c r="H260" s="126"/>
      <c r="I260" s="126"/>
      <c r="J260" s="126"/>
      <c r="K260" s="126"/>
      <c r="L260" s="126">
        <f t="shared" ref="L260:T261" si="49">(($E260*L$115)*$O$6)+(L$157*$O$7)+(L$181*$O$8)</f>
        <v>5.2168000000000006E-2</v>
      </c>
      <c r="M260" s="126">
        <f t="shared" si="49"/>
        <v>5.2168000000000006E-2</v>
      </c>
      <c r="N260" s="126">
        <f t="shared" si="49"/>
        <v>5.2168000000000006E-2</v>
      </c>
      <c r="O260" s="126">
        <f t="shared" si="49"/>
        <v>5.2168000000000006E-2</v>
      </c>
      <c r="P260" s="126">
        <f t="shared" si="49"/>
        <v>5.2168000000000006E-2</v>
      </c>
      <c r="Q260" s="126">
        <f t="shared" si="49"/>
        <v>5.2168000000000006E-2</v>
      </c>
      <c r="R260" s="126">
        <f t="shared" si="49"/>
        <v>5.2168000000000006E-2</v>
      </c>
      <c r="S260" s="126">
        <f t="shared" si="49"/>
        <v>5.2168000000000006E-2</v>
      </c>
      <c r="T260" s="126">
        <f t="shared" si="49"/>
        <v>5.2168000000000006E-2</v>
      </c>
      <c r="U260" s="126"/>
    </row>
    <row r="261" spans="1:35" outlineLevel="1" x14ac:dyDescent="0.2">
      <c r="B261" s="59" t="s">
        <v>100</v>
      </c>
      <c r="C261" s="59" t="s">
        <v>102</v>
      </c>
      <c r="D261" s="124" t="str">
        <f t="shared" si="19"/>
        <v>MarineE0</v>
      </c>
      <c r="E261" s="125">
        <v>1</v>
      </c>
      <c r="F261" s="125">
        <v>0</v>
      </c>
      <c r="G261" s="126"/>
      <c r="H261" s="126"/>
      <c r="I261" s="126"/>
      <c r="J261" s="126"/>
      <c r="K261" s="126"/>
      <c r="L261" s="126">
        <f t="shared" si="49"/>
        <v>2.3416416842105261</v>
      </c>
      <c r="M261" s="126">
        <f t="shared" si="49"/>
        <v>2.3416416842105261</v>
      </c>
      <c r="N261" s="126">
        <f t="shared" si="49"/>
        <v>2.3416416842105261</v>
      </c>
      <c r="O261" s="126">
        <f t="shared" si="49"/>
        <v>2.3416416842105261</v>
      </c>
      <c r="P261" s="126">
        <f t="shared" si="49"/>
        <v>2.3416416842105261</v>
      </c>
      <c r="Q261" s="126">
        <f t="shared" si="49"/>
        <v>2.3679574736842106</v>
      </c>
      <c r="R261" s="126">
        <f t="shared" si="49"/>
        <v>2.3679574736842106</v>
      </c>
      <c r="S261" s="126">
        <f t="shared" si="49"/>
        <v>2.3679574736842106</v>
      </c>
      <c r="T261" s="126">
        <f t="shared" si="49"/>
        <v>2.3679574736842106</v>
      </c>
      <c r="U261" s="126"/>
    </row>
    <row r="262" spans="1:35" outlineLevel="1" x14ac:dyDescent="0.2">
      <c r="B262" s="39" t="s">
        <v>107</v>
      </c>
      <c r="C262" s="94" t="s">
        <v>52</v>
      </c>
      <c r="D262" s="117" t="str">
        <f t="shared" si="19"/>
        <v>AviationGasoline</v>
      </c>
      <c r="E262" s="121">
        <v>0.95</v>
      </c>
      <c r="F262" s="121">
        <v>0.05</v>
      </c>
      <c r="G262" s="119"/>
      <c r="H262" s="119"/>
      <c r="I262" s="119"/>
      <c r="J262" s="119"/>
      <c r="K262" s="119"/>
      <c r="L262" s="119">
        <f t="shared" ref="L262:T263" si="50">(L136*$O$6)+(L160*$O$7)+(L184*$O$8)</f>
        <v>2.4655400000000003</v>
      </c>
      <c r="M262" s="119">
        <f t="shared" si="50"/>
        <v>2.4655400000000003</v>
      </c>
      <c r="N262" s="119">
        <f t="shared" si="50"/>
        <v>2.4655400000000003</v>
      </c>
      <c r="O262" s="119">
        <f t="shared" si="50"/>
        <v>2.4655400000000003</v>
      </c>
      <c r="P262" s="119">
        <f t="shared" si="50"/>
        <v>2.4655400000000003</v>
      </c>
      <c r="Q262" s="119">
        <f t="shared" si="50"/>
        <v>2.4885400000000004</v>
      </c>
      <c r="R262" s="119">
        <f t="shared" si="50"/>
        <v>2.4885400000000004</v>
      </c>
      <c r="S262" s="119">
        <f t="shared" si="50"/>
        <v>2.4885400000000004</v>
      </c>
      <c r="T262" s="119">
        <f t="shared" si="50"/>
        <v>2.4885400000000004</v>
      </c>
      <c r="U262" s="119"/>
    </row>
    <row r="263" spans="1:35" outlineLevel="1" x14ac:dyDescent="0.2">
      <c r="B263" s="39" t="s">
        <v>107</v>
      </c>
      <c r="C263" s="82" t="s">
        <v>69</v>
      </c>
      <c r="D263" s="120" t="str">
        <f t="shared" si="19"/>
        <v>AviationD</v>
      </c>
      <c r="E263" s="118">
        <v>0.96</v>
      </c>
      <c r="F263" s="121">
        <v>0.04</v>
      </c>
      <c r="G263" s="119"/>
      <c r="H263" s="119"/>
      <c r="I263" s="119"/>
      <c r="J263" s="119"/>
      <c r="K263" s="119"/>
      <c r="L263" s="119">
        <f t="shared" si="50"/>
        <v>2.5558579999999997</v>
      </c>
      <c r="M263" s="119">
        <f t="shared" si="50"/>
        <v>2.5558579999999997</v>
      </c>
      <c r="N263" s="119">
        <f t="shared" si="50"/>
        <v>2.5560079999999994</v>
      </c>
      <c r="O263" s="119">
        <f t="shared" si="50"/>
        <v>2.5558829999999997</v>
      </c>
      <c r="P263" s="119">
        <f t="shared" si="50"/>
        <v>2.5558829999999997</v>
      </c>
      <c r="Q263" s="119">
        <f t="shared" si="50"/>
        <v>2.5818829999999999</v>
      </c>
      <c r="R263" s="119">
        <f t="shared" si="50"/>
        <v>2.5818829999999999</v>
      </c>
      <c r="S263" s="119">
        <f t="shared" si="50"/>
        <v>2.5818829999999999</v>
      </c>
      <c r="T263" s="119">
        <f t="shared" si="50"/>
        <v>2.5818829999999999</v>
      </c>
      <c r="U263" s="119"/>
    </row>
    <row r="264" spans="1:35" x14ac:dyDescent="0.2">
      <c r="V264" s="135"/>
      <c r="W264" s="136"/>
      <c r="X264" s="137"/>
      <c r="Y264" s="138"/>
      <c r="Z264" s="139"/>
      <c r="AA264" s="140"/>
    </row>
    <row r="266" spans="1:35" ht="15.75" x14ac:dyDescent="0.25">
      <c r="B266" s="141" t="s">
        <v>117</v>
      </c>
      <c r="C266" s="142"/>
      <c r="D266" s="142"/>
      <c r="E266" s="142"/>
      <c r="F266" s="8" t="s">
        <v>5</v>
      </c>
    </row>
    <row r="267" spans="1:35" hidden="1" outlineLevel="1" x14ac:dyDescent="0.2"/>
    <row r="268" spans="1:35" s="65" customFormat="1" ht="12.75" hidden="1" customHeight="1" outlineLevel="1" x14ac:dyDescent="0.2">
      <c r="B268" s="143" t="s">
        <v>27</v>
      </c>
      <c r="C268" s="143"/>
      <c r="D268" s="143"/>
      <c r="E268" s="143"/>
      <c r="F268" s="144">
        <v>23</v>
      </c>
      <c r="G268" s="145" t="s">
        <v>118</v>
      </c>
      <c r="H268" s="145" t="s">
        <v>119</v>
      </c>
      <c r="I268" s="145"/>
      <c r="J268" s="145"/>
      <c r="K268" s="146" t="s">
        <v>120</v>
      </c>
      <c r="L268" s="147"/>
      <c r="M268" s="148"/>
      <c r="N268" s="148"/>
      <c r="O268" s="148"/>
      <c r="P268" s="148"/>
      <c r="Q268" s="148"/>
      <c r="R268" s="148"/>
      <c r="S268" s="148"/>
      <c r="T268" s="148"/>
      <c r="U268" s="148"/>
      <c r="V268" s="148"/>
    </row>
    <row r="269" spans="1:35" hidden="1" outlineLevel="1" x14ac:dyDescent="0.2"/>
    <row r="270" spans="1:35" s="65" customFormat="1" ht="12.75" hidden="1" customHeight="1" outlineLevel="1" x14ac:dyDescent="0.3">
      <c r="A270" s="149"/>
      <c r="B270" s="150" t="s">
        <v>121</v>
      </c>
      <c r="C270" s="150"/>
      <c r="D270" s="150"/>
      <c r="E270" s="150"/>
      <c r="G270" s="146" t="s">
        <v>120</v>
      </c>
    </row>
    <row r="271" spans="1:35" s="151" customFormat="1" ht="22.5" hidden="1" outlineLevel="1" x14ac:dyDescent="0.2">
      <c r="B271" s="152" t="s">
        <v>6</v>
      </c>
      <c r="C271" s="152"/>
      <c r="D271" s="152"/>
      <c r="E271" s="152"/>
      <c r="F271" s="153" t="s">
        <v>122</v>
      </c>
      <c r="G271" s="154" t="s">
        <v>8</v>
      </c>
      <c r="H271" s="152" t="s">
        <v>9</v>
      </c>
      <c r="I271" s="152"/>
      <c r="J271" s="152"/>
      <c r="K271" s="152" t="s">
        <v>10</v>
      </c>
      <c r="L271" s="152"/>
      <c r="M271" s="152"/>
      <c r="N271" s="152"/>
      <c r="O271" s="152"/>
      <c r="P271" s="152"/>
      <c r="Q271" s="152"/>
      <c r="R271" s="152"/>
      <c r="S271" s="152"/>
      <c r="T271" s="152"/>
      <c r="U271" s="152"/>
      <c r="V271" s="152"/>
      <c r="W271" s="155"/>
      <c r="X271" s="155"/>
      <c r="Y271" s="155"/>
      <c r="Z271" s="155"/>
      <c r="AA271" s="155"/>
      <c r="AB271" s="155"/>
      <c r="AC271" s="155"/>
      <c r="AD271" s="155"/>
      <c r="AE271" s="155"/>
      <c r="AF271" s="155"/>
      <c r="AG271" s="155"/>
      <c r="AH271" s="155"/>
      <c r="AI271" s="155"/>
    </row>
    <row r="272" spans="1:35" s="65" customFormat="1" ht="12.75" hidden="1" customHeight="1" outlineLevel="1" x14ac:dyDescent="0.2">
      <c r="B272" s="156" t="s">
        <v>11</v>
      </c>
      <c r="C272" s="156"/>
      <c r="D272" s="156"/>
      <c r="E272" s="156"/>
      <c r="F272" s="157">
        <v>1916</v>
      </c>
      <c r="G272" s="158" t="s">
        <v>123</v>
      </c>
      <c r="H272" s="159" t="s">
        <v>13</v>
      </c>
      <c r="I272" s="156"/>
      <c r="J272" s="159"/>
      <c r="K272" s="160" t="s">
        <v>124</v>
      </c>
      <c r="L272" s="159"/>
      <c r="M272" s="160"/>
      <c r="N272" s="160"/>
      <c r="O272" s="160"/>
      <c r="P272" s="160"/>
      <c r="Q272" s="160"/>
      <c r="R272" s="148"/>
      <c r="S272" s="148"/>
      <c r="T272" s="148"/>
      <c r="U272" s="148"/>
      <c r="V272" s="148"/>
    </row>
    <row r="273" spans="2:33" s="65" customFormat="1" ht="12.75" hidden="1" customHeight="1" outlineLevel="1" x14ac:dyDescent="0.2">
      <c r="B273" s="156" t="s">
        <v>11</v>
      </c>
      <c r="C273" s="156"/>
      <c r="D273" s="156"/>
      <c r="E273" s="156"/>
      <c r="F273" s="161">
        <v>4.9750000000000003E-2</v>
      </c>
      <c r="G273" s="158" t="s">
        <v>14</v>
      </c>
      <c r="H273" s="159" t="s">
        <v>125</v>
      </c>
      <c r="I273" s="156"/>
      <c r="J273" s="159"/>
      <c r="K273" s="160"/>
      <c r="L273" s="159"/>
      <c r="M273" s="160"/>
      <c r="N273" s="160"/>
      <c r="O273" s="160"/>
      <c r="P273" s="160"/>
      <c r="Q273" s="160"/>
      <c r="R273" s="162" t="s">
        <v>126</v>
      </c>
      <c r="S273" s="148"/>
      <c r="T273" s="162" t="s">
        <v>126</v>
      </c>
      <c r="U273" s="148"/>
      <c r="V273" s="148"/>
    </row>
    <row r="274" spans="2:33" s="65" customFormat="1" ht="12.75" hidden="1" customHeight="1" outlineLevel="1" x14ac:dyDescent="0.2">
      <c r="B274" s="156" t="s">
        <v>38</v>
      </c>
      <c r="C274" s="156"/>
      <c r="D274" s="156"/>
      <c r="E274" s="156"/>
      <c r="F274" s="161">
        <f>68.6111111111111/1000</f>
        <v>6.8611111111111095E-2</v>
      </c>
      <c r="G274" s="158" t="s">
        <v>14</v>
      </c>
      <c r="H274" s="159" t="s">
        <v>127</v>
      </c>
      <c r="I274" s="156"/>
      <c r="J274" s="159"/>
      <c r="K274" s="160"/>
      <c r="L274" s="159"/>
      <c r="M274" s="160"/>
      <c r="N274" s="160"/>
      <c r="O274" s="160"/>
      <c r="P274" s="160"/>
      <c r="Q274" s="160"/>
      <c r="R274" s="162"/>
      <c r="S274" s="148"/>
      <c r="T274" s="162"/>
      <c r="U274" s="148"/>
      <c r="V274" s="148"/>
    </row>
    <row r="275" spans="2:33" s="65" customFormat="1" ht="12.75" hidden="1" customHeight="1" outlineLevel="1" x14ac:dyDescent="0.2">
      <c r="B275" s="156" t="s">
        <v>38</v>
      </c>
      <c r="C275" s="156"/>
      <c r="D275" s="156"/>
      <c r="E275" s="156"/>
      <c r="F275" s="161">
        <v>7.25130238257E-5</v>
      </c>
      <c r="G275" s="158" t="s">
        <v>128</v>
      </c>
      <c r="H275" s="159" t="s">
        <v>129</v>
      </c>
      <c r="I275" s="156"/>
      <c r="J275" s="159"/>
      <c r="K275" s="160"/>
      <c r="L275" s="159"/>
      <c r="M275" s="160"/>
      <c r="N275" s="160"/>
      <c r="O275" s="160"/>
      <c r="P275" s="160"/>
      <c r="Q275" s="160"/>
      <c r="R275" s="162"/>
      <c r="S275" s="148"/>
      <c r="T275" s="162"/>
      <c r="U275" s="148"/>
      <c r="V275" s="148"/>
    </row>
    <row r="276" spans="2:33" s="65" customFormat="1" ht="12.75" hidden="1" customHeight="1" outlineLevel="1" x14ac:dyDescent="0.2">
      <c r="B276" s="156" t="s">
        <v>37</v>
      </c>
      <c r="C276" s="156"/>
      <c r="D276" s="156"/>
      <c r="E276" s="156"/>
      <c r="F276" s="161">
        <v>1.9400000000000001E-2</v>
      </c>
      <c r="G276" s="158" t="s">
        <v>14</v>
      </c>
      <c r="H276" s="159" t="s">
        <v>130</v>
      </c>
      <c r="I276" s="156"/>
      <c r="J276" s="159"/>
      <c r="K276" s="160"/>
      <c r="L276" s="159"/>
      <c r="M276" s="160"/>
      <c r="N276" s="160"/>
      <c r="O276" s="160"/>
      <c r="P276" s="160"/>
      <c r="Q276" s="160"/>
      <c r="R276" s="162"/>
      <c r="S276" s="148"/>
      <c r="T276" s="162"/>
      <c r="U276" s="148"/>
      <c r="V276" s="148"/>
    </row>
    <row r="277" spans="2:33" s="65" customFormat="1" ht="12.75" hidden="1" customHeight="1" outlineLevel="1" x14ac:dyDescent="0.2">
      <c r="B277" s="156"/>
      <c r="C277" s="156"/>
      <c r="D277" s="156"/>
      <c r="E277" s="156"/>
      <c r="F277" s="161"/>
      <c r="G277" s="158"/>
      <c r="H277" s="159"/>
      <c r="I277" s="156"/>
      <c r="J277" s="159"/>
      <c r="K277" s="160"/>
      <c r="L277" s="159"/>
      <c r="M277" s="160"/>
      <c r="N277" s="160"/>
      <c r="O277" s="160"/>
      <c r="P277" s="160"/>
      <c r="Q277" s="160"/>
      <c r="R277" s="162"/>
      <c r="S277" s="148"/>
      <c r="T277" s="162"/>
      <c r="U277" s="148"/>
      <c r="V277" s="148"/>
    </row>
    <row r="278" spans="2:33" s="65" customFormat="1" ht="12.75" hidden="1" customHeight="1" outlineLevel="1" x14ac:dyDescent="0.2">
      <c r="B278" s="156"/>
      <c r="C278" s="156"/>
      <c r="D278" s="156"/>
      <c r="E278" s="156"/>
      <c r="F278" s="161"/>
      <c r="G278" s="158"/>
      <c r="H278" s="159"/>
      <c r="I278" s="156"/>
      <c r="J278" s="159"/>
      <c r="K278" s="160"/>
      <c r="L278" s="159"/>
      <c r="M278" s="160"/>
      <c r="N278" s="160"/>
      <c r="O278" s="160"/>
      <c r="P278" s="160"/>
      <c r="Q278" s="160"/>
      <c r="R278" s="162"/>
      <c r="S278" s="148"/>
      <c r="T278" s="162"/>
      <c r="U278" s="148"/>
      <c r="V278" s="148"/>
    </row>
    <row r="279" spans="2:33" hidden="1" outlineLevel="1" x14ac:dyDescent="0.2">
      <c r="B279" s="85" t="s">
        <v>131</v>
      </c>
      <c r="C279" s="85"/>
      <c r="D279" s="85"/>
      <c r="E279" s="85"/>
      <c r="F279" s="163"/>
      <c r="G279" s="164"/>
      <c r="H279" s="85"/>
    </row>
    <row r="280" spans="2:33" hidden="1" outlineLevel="1" x14ac:dyDescent="0.2"/>
    <row r="281" spans="2:33" hidden="1" outlineLevel="1" x14ac:dyDescent="0.2">
      <c r="B281" s="165" t="s">
        <v>132</v>
      </c>
      <c r="C281" s="165"/>
      <c r="D281" s="165"/>
      <c r="E281" s="165"/>
      <c r="F281" s="166"/>
      <c r="G281" s="166"/>
      <c r="H281" s="167"/>
      <c r="I281" s="167"/>
      <c r="J281" s="167"/>
      <c r="K281" s="167"/>
      <c r="L281" s="167"/>
      <c r="M281" s="167"/>
      <c r="N281" s="167"/>
      <c r="O281" s="167"/>
      <c r="P281" s="167"/>
      <c r="Q281" s="167"/>
      <c r="R281" s="167"/>
      <c r="T281" s="167"/>
      <c r="V281" s="167"/>
      <c r="W281" s="167"/>
      <c r="X281" s="167"/>
      <c r="Y281" s="167"/>
      <c r="Z281" s="167"/>
      <c r="AA281" s="167"/>
      <c r="AB281" s="167"/>
      <c r="AC281" s="167"/>
      <c r="AD281" s="167"/>
      <c r="AE281" s="167"/>
      <c r="AF281" s="167"/>
      <c r="AG281" s="167"/>
    </row>
    <row r="282" spans="2:33" hidden="1" outlineLevel="1" x14ac:dyDescent="0.2">
      <c r="B282" s="168" t="s">
        <v>133</v>
      </c>
      <c r="C282" s="168"/>
      <c r="D282" s="168"/>
      <c r="E282" s="168"/>
      <c r="F282" s="166">
        <v>2002</v>
      </c>
      <c r="G282" s="166">
        <v>2003</v>
      </c>
      <c r="H282" s="166">
        <v>2004</v>
      </c>
      <c r="I282" s="166">
        <v>2005</v>
      </c>
      <c r="J282" s="166">
        <v>2006</v>
      </c>
      <c r="K282" s="166">
        <v>2007</v>
      </c>
      <c r="L282" s="166">
        <v>2008</v>
      </c>
      <c r="M282" s="166">
        <v>2009</v>
      </c>
      <c r="N282" s="166">
        <v>2010</v>
      </c>
      <c r="O282" s="166">
        <v>2011</v>
      </c>
      <c r="P282" s="166">
        <v>2012</v>
      </c>
      <c r="Q282" s="166">
        <v>2013</v>
      </c>
      <c r="R282" s="166">
        <v>2014</v>
      </c>
      <c r="T282" s="166">
        <v>2015</v>
      </c>
      <c r="V282" s="166">
        <v>2003</v>
      </c>
      <c r="W282" s="166">
        <v>2004</v>
      </c>
      <c r="X282" s="166">
        <v>2005</v>
      </c>
      <c r="Y282" s="166">
        <v>2006</v>
      </c>
      <c r="Z282" s="166">
        <v>2007</v>
      </c>
      <c r="AA282" s="166">
        <v>2008</v>
      </c>
      <c r="AB282" s="166">
        <v>2009</v>
      </c>
      <c r="AC282" s="166">
        <v>2010</v>
      </c>
      <c r="AD282" s="166">
        <v>2011</v>
      </c>
      <c r="AE282" s="166">
        <v>2012</v>
      </c>
      <c r="AF282" s="166">
        <v>2013</v>
      </c>
      <c r="AG282" s="166">
        <v>2014</v>
      </c>
    </row>
    <row r="283" spans="2:33" hidden="1" outlineLevel="1" x14ac:dyDescent="0.2">
      <c r="B283" s="169" t="s">
        <v>134</v>
      </c>
      <c r="C283" s="169"/>
      <c r="D283" s="169"/>
      <c r="E283" s="169"/>
      <c r="F283" s="170">
        <f>U283/1000/$F$64</f>
        <v>0</v>
      </c>
      <c r="G283" s="170">
        <f t="shared" ref="G283:R292" si="51">V283/1000/$F$64</f>
        <v>1.0555555555555556E-2</v>
      </c>
      <c r="H283" s="170">
        <f t="shared" si="51"/>
        <v>8.8888888888888889E-3</v>
      </c>
      <c r="I283" s="170">
        <f t="shared" si="51"/>
        <v>8.611111111111111E-3</v>
      </c>
      <c r="J283" s="170">
        <f t="shared" si="51"/>
        <v>4.1666666666666666E-3</v>
      </c>
      <c r="K283" s="170">
        <f t="shared" si="51"/>
        <v>8.3333333333333332E-3</v>
      </c>
      <c r="L283" s="170">
        <f t="shared" si="51"/>
        <v>8.3333333333333332E-3</v>
      </c>
      <c r="M283" s="170">
        <f t="shared" si="51"/>
        <v>8.3333333333333332E-3</v>
      </c>
      <c r="N283" s="170">
        <f t="shared" si="51"/>
        <v>8.3333333333333332E-3</v>
      </c>
      <c r="O283" s="170">
        <f t="shared" si="51"/>
        <v>0</v>
      </c>
      <c r="P283" s="170">
        <f t="shared" si="51"/>
        <v>0</v>
      </c>
      <c r="Q283" s="170">
        <f t="shared" si="51"/>
        <v>0</v>
      </c>
      <c r="R283" s="170">
        <f t="shared" si="51"/>
        <v>0</v>
      </c>
      <c r="T283" s="170">
        <f t="shared" ref="T283:T292" si="52">AI283/1000/$F$64</f>
        <v>0</v>
      </c>
      <c r="V283" s="169">
        <v>3.7999999999999999E-2</v>
      </c>
      <c r="W283" s="169">
        <v>3.2000000000000001E-2</v>
      </c>
      <c r="X283" s="169">
        <v>3.1E-2</v>
      </c>
      <c r="Y283" s="169">
        <v>1.4999999999999999E-2</v>
      </c>
      <c r="Z283" s="169">
        <v>0.03</v>
      </c>
      <c r="AA283" s="169">
        <f>Z283</f>
        <v>0.03</v>
      </c>
      <c r="AB283" s="169">
        <f>AA283</f>
        <v>0.03</v>
      </c>
      <c r="AC283" s="169">
        <f>AB283</f>
        <v>0.03</v>
      </c>
      <c r="AD283" s="169"/>
      <c r="AE283" s="169"/>
      <c r="AF283" s="169"/>
      <c r="AG283" s="169"/>
    </row>
    <row r="284" spans="2:33" hidden="1" outlineLevel="1" x14ac:dyDescent="0.2">
      <c r="B284" s="169" t="s">
        <v>135</v>
      </c>
      <c r="C284" s="169"/>
      <c r="D284" s="169"/>
      <c r="E284" s="169"/>
      <c r="F284" s="170">
        <f>U284/1000/$F$64</f>
        <v>0</v>
      </c>
      <c r="G284" s="170">
        <f t="shared" si="51"/>
        <v>0.19055555555555559</v>
      </c>
      <c r="H284" s="170">
        <f t="shared" si="51"/>
        <v>0.22361111111111112</v>
      </c>
      <c r="I284" s="170">
        <f t="shared" si="51"/>
        <v>0.21416666666666667</v>
      </c>
      <c r="J284" s="170">
        <f t="shared" si="51"/>
        <v>0.21111111111111114</v>
      </c>
      <c r="K284" s="170">
        <f t="shared" si="51"/>
        <v>0.22500000000000003</v>
      </c>
      <c r="L284" s="170">
        <f t="shared" si="51"/>
        <v>0.22500000000000003</v>
      </c>
      <c r="M284" s="170">
        <f t="shared" si="51"/>
        <v>0.22500000000000003</v>
      </c>
      <c r="N284" s="170">
        <f t="shared" si="51"/>
        <v>0.22500000000000003</v>
      </c>
      <c r="O284" s="170">
        <f t="shared" si="51"/>
        <v>0</v>
      </c>
      <c r="P284" s="170">
        <f t="shared" si="51"/>
        <v>0</v>
      </c>
      <c r="Q284" s="170">
        <f t="shared" si="51"/>
        <v>0</v>
      </c>
      <c r="R284" s="170">
        <f t="shared" si="51"/>
        <v>0</v>
      </c>
      <c r="T284" s="170">
        <f t="shared" si="52"/>
        <v>0</v>
      </c>
      <c r="V284" s="169">
        <v>0.68600000000000005</v>
      </c>
      <c r="W284" s="169">
        <v>0.80500000000000005</v>
      </c>
      <c r="X284" s="169">
        <v>0.77100000000000002</v>
      </c>
      <c r="Y284" s="169">
        <v>0.76</v>
      </c>
      <c r="Z284" s="169">
        <v>0.81</v>
      </c>
      <c r="AA284" s="169">
        <f t="shared" ref="Z284:AC292" si="53">Z284</f>
        <v>0.81</v>
      </c>
      <c r="AB284" s="169">
        <f t="shared" si="53"/>
        <v>0.81</v>
      </c>
      <c r="AC284" s="169">
        <f t="shared" si="53"/>
        <v>0.81</v>
      </c>
      <c r="AD284" s="169"/>
      <c r="AE284" s="169"/>
      <c r="AF284" s="169"/>
      <c r="AG284" s="169"/>
    </row>
    <row r="285" spans="2:33" hidden="1" outlineLevel="1" x14ac:dyDescent="0.2">
      <c r="B285" s="169" t="s">
        <v>136</v>
      </c>
      <c r="C285" s="169"/>
      <c r="D285" s="169"/>
      <c r="E285" s="169"/>
      <c r="F285" s="170">
        <f t="shared" ref="F285:F292" si="54">U285/1000/$F$64</f>
        <v>0</v>
      </c>
      <c r="G285" s="170">
        <f t="shared" si="51"/>
        <v>0.12222222222222223</v>
      </c>
      <c r="H285" s="170">
        <f t="shared" si="51"/>
        <v>0.11833333333333333</v>
      </c>
      <c r="I285" s="170">
        <f t="shared" si="51"/>
        <v>0.10944444444444446</v>
      </c>
      <c r="J285" s="170">
        <f t="shared" si="51"/>
        <v>0.10833333333333334</v>
      </c>
      <c r="K285" s="170">
        <f t="shared" si="51"/>
        <v>0.11666666666666665</v>
      </c>
      <c r="L285" s="170">
        <f t="shared" si="51"/>
        <v>0.11666666666666665</v>
      </c>
      <c r="M285" s="170">
        <f t="shared" si="51"/>
        <v>0.11666666666666665</v>
      </c>
      <c r="N285" s="170">
        <f t="shared" si="51"/>
        <v>0.11666666666666665</v>
      </c>
      <c r="O285" s="170">
        <f t="shared" si="51"/>
        <v>0</v>
      </c>
      <c r="P285" s="170">
        <f t="shared" si="51"/>
        <v>0</v>
      </c>
      <c r="Q285" s="170">
        <f t="shared" si="51"/>
        <v>0</v>
      </c>
      <c r="R285" s="170">
        <f t="shared" si="51"/>
        <v>0</v>
      </c>
      <c r="T285" s="170">
        <f t="shared" si="52"/>
        <v>0</v>
      </c>
      <c r="V285" s="169">
        <v>0.44</v>
      </c>
      <c r="W285" s="169">
        <v>0.42599999999999999</v>
      </c>
      <c r="X285" s="169">
        <v>0.39400000000000002</v>
      </c>
      <c r="Y285" s="169">
        <v>0.39</v>
      </c>
      <c r="Z285" s="169">
        <v>0.42</v>
      </c>
      <c r="AA285" s="169">
        <f t="shared" si="53"/>
        <v>0.42</v>
      </c>
      <c r="AB285" s="169">
        <f t="shared" si="53"/>
        <v>0.42</v>
      </c>
      <c r="AC285" s="169">
        <f t="shared" si="53"/>
        <v>0.42</v>
      </c>
      <c r="AD285" s="169"/>
      <c r="AE285" s="169"/>
      <c r="AF285" s="169"/>
      <c r="AG285" s="169"/>
    </row>
    <row r="286" spans="2:33" hidden="1" outlineLevel="1" x14ac:dyDescent="0.2">
      <c r="B286" s="169" t="s">
        <v>137</v>
      </c>
      <c r="C286" s="169"/>
      <c r="D286" s="169"/>
      <c r="E286" s="169"/>
      <c r="F286" s="170">
        <f t="shared" si="54"/>
        <v>0</v>
      </c>
      <c r="G286" s="170">
        <f t="shared" si="51"/>
        <v>0.18583333333333335</v>
      </c>
      <c r="H286" s="170">
        <f t="shared" si="51"/>
        <v>0.10361111111111111</v>
      </c>
      <c r="I286" s="170">
        <f t="shared" si="51"/>
        <v>7.0000000000000007E-2</v>
      </c>
      <c r="J286" s="170">
        <f t="shared" si="51"/>
        <v>4.9999999999999996E-2</v>
      </c>
      <c r="K286" s="170">
        <f t="shared" si="51"/>
        <v>4.9999999999999996E-2</v>
      </c>
      <c r="L286" s="170">
        <f t="shared" si="51"/>
        <v>4.9999999999999996E-2</v>
      </c>
      <c r="M286" s="170">
        <f t="shared" si="51"/>
        <v>4.9999999999999996E-2</v>
      </c>
      <c r="N286" s="170">
        <f t="shared" si="51"/>
        <v>4.9999999999999996E-2</v>
      </c>
      <c r="O286" s="170">
        <f t="shared" si="51"/>
        <v>0</v>
      </c>
      <c r="P286" s="170">
        <f t="shared" si="51"/>
        <v>0</v>
      </c>
      <c r="Q286" s="170">
        <f t="shared" si="51"/>
        <v>0</v>
      </c>
      <c r="R286" s="170">
        <f t="shared" si="51"/>
        <v>0</v>
      </c>
      <c r="T286" s="170">
        <f t="shared" si="52"/>
        <v>0</v>
      </c>
      <c r="V286" s="169">
        <v>0.66900000000000004</v>
      </c>
      <c r="W286" s="169">
        <v>0.373</v>
      </c>
      <c r="X286" s="169">
        <v>0.252</v>
      </c>
      <c r="Y286" s="169">
        <v>0.18</v>
      </c>
      <c r="Z286" s="169">
        <f t="shared" si="53"/>
        <v>0.18</v>
      </c>
      <c r="AA286" s="169">
        <f t="shared" si="53"/>
        <v>0.18</v>
      </c>
      <c r="AB286" s="169">
        <f t="shared" si="53"/>
        <v>0.18</v>
      </c>
      <c r="AC286" s="169">
        <f t="shared" si="53"/>
        <v>0.18</v>
      </c>
      <c r="AD286" s="169"/>
      <c r="AE286" s="169"/>
      <c r="AF286" s="169"/>
      <c r="AG286" s="169"/>
    </row>
    <row r="287" spans="2:33" hidden="1" outlineLevel="1" x14ac:dyDescent="0.2">
      <c r="B287" s="169" t="s">
        <v>138</v>
      </c>
      <c r="C287" s="169"/>
      <c r="D287" s="169"/>
      <c r="E287" s="169"/>
      <c r="F287" s="170">
        <f t="shared" si="54"/>
        <v>0</v>
      </c>
      <c r="G287" s="170">
        <f t="shared" si="51"/>
        <v>2.6944444444444446E-3</v>
      </c>
      <c r="H287" s="170">
        <f t="shared" si="51"/>
        <v>2.3888888888888892E-3</v>
      </c>
      <c r="I287" s="170">
        <f t="shared" si="51"/>
        <v>2.5277777777777781E-3</v>
      </c>
      <c r="J287" s="170">
        <f t="shared" si="51"/>
        <v>1.1111111111111111E-3</v>
      </c>
      <c r="K287" s="170">
        <f t="shared" si="51"/>
        <v>3.0555555555555557E-3</v>
      </c>
      <c r="L287" s="170">
        <f t="shared" si="51"/>
        <v>3.0555555555555557E-3</v>
      </c>
      <c r="M287" s="170">
        <f t="shared" si="51"/>
        <v>3.0555555555555557E-3</v>
      </c>
      <c r="N287" s="170">
        <f t="shared" si="51"/>
        <v>3.0555555555555557E-3</v>
      </c>
      <c r="O287" s="170">
        <f t="shared" si="51"/>
        <v>0</v>
      </c>
      <c r="P287" s="170">
        <f t="shared" si="51"/>
        <v>0</v>
      </c>
      <c r="Q287" s="170">
        <f t="shared" si="51"/>
        <v>0</v>
      </c>
      <c r="R287" s="170">
        <f t="shared" si="51"/>
        <v>0</v>
      </c>
      <c r="T287" s="170">
        <f t="shared" si="52"/>
        <v>0</v>
      </c>
      <c r="V287" s="169">
        <v>9.7000000000000003E-3</v>
      </c>
      <c r="W287" s="169">
        <v>8.6E-3</v>
      </c>
      <c r="X287" s="169">
        <v>9.1000000000000004E-3</v>
      </c>
      <c r="Y287" s="169">
        <v>4.0000000000000001E-3</v>
      </c>
      <c r="Z287" s="169">
        <v>1.0999999999999999E-2</v>
      </c>
      <c r="AA287" s="169">
        <f t="shared" si="53"/>
        <v>1.0999999999999999E-2</v>
      </c>
      <c r="AB287" s="169">
        <f t="shared" si="53"/>
        <v>1.0999999999999999E-2</v>
      </c>
      <c r="AC287" s="169">
        <f t="shared" si="53"/>
        <v>1.0999999999999999E-2</v>
      </c>
      <c r="AD287" s="169"/>
      <c r="AE287" s="169"/>
      <c r="AF287" s="169"/>
      <c r="AG287" s="169"/>
    </row>
    <row r="288" spans="2:33" hidden="1" outlineLevel="1" x14ac:dyDescent="0.2">
      <c r="B288" s="169" t="s">
        <v>139</v>
      </c>
      <c r="C288" s="169"/>
      <c r="D288" s="169"/>
      <c r="E288" s="169"/>
      <c r="F288" s="170">
        <f t="shared" si="54"/>
        <v>0</v>
      </c>
      <c r="G288" s="170">
        <f t="shared" si="51"/>
        <v>7.5833333333333336E-2</v>
      </c>
      <c r="H288" s="170">
        <f t="shared" si="51"/>
        <v>5.4722222222222228E-2</v>
      </c>
      <c r="I288" s="170">
        <f t="shared" si="51"/>
        <v>6.1111111111111116E-2</v>
      </c>
      <c r="J288" s="170">
        <f t="shared" si="51"/>
        <v>4.9999999999999996E-2</v>
      </c>
      <c r="K288" s="170">
        <f t="shared" si="51"/>
        <v>6.1111111111111116E-2</v>
      </c>
      <c r="L288" s="170">
        <f t="shared" si="51"/>
        <v>6.1111111111111116E-2</v>
      </c>
      <c r="M288" s="170">
        <f t="shared" si="51"/>
        <v>6.1111111111111116E-2</v>
      </c>
      <c r="N288" s="170">
        <f t="shared" si="51"/>
        <v>6.1111111111111116E-2</v>
      </c>
      <c r="O288" s="170">
        <f t="shared" si="51"/>
        <v>0</v>
      </c>
      <c r="P288" s="170">
        <f t="shared" si="51"/>
        <v>0</v>
      </c>
      <c r="Q288" s="170">
        <f t="shared" si="51"/>
        <v>0</v>
      </c>
      <c r="R288" s="170">
        <f t="shared" si="51"/>
        <v>0</v>
      </c>
      <c r="T288" s="170">
        <f t="shared" si="52"/>
        <v>0</v>
      </c>
      <c r="V288" s="169">
        <v>0.27300000000000002</v>
      </c>
      <c r="W288" s="169">
        <v>0.19700000000000001</v>
      </c>
      <c r="X288" s="169">
        <v>0.22</v>
      </c>
      <c r="Y288" s="169">
        <v>0.18</v>
      </c>
      <c r="Z288" s="169">
        <v>0.22</v>
      </c>
      <c r="AA288" s="169">
        <f t="shared" si="53"/>
        <v>0.22</v>
      </c>
      <c r="AB288" s="169">
        <f t="shared" si="53"/>
        <v>0.22</v>
      </c>
      <c r="AC288" s="169">
        <f t="shared" si="53"/>
        <v>0.22</v>
      </c>
      <c r="AD288" s="169"/>
      <c r="AE288" s="169"/>
      <c r="AF288" s="169"/>
      <c r="AG288" s="169"/>
    </row>
    <row r="289" spans="2:33" hidden="1" outlineLevel="1" x14ac:dyDescent="0.2">
      <c r="B289" s="169" t="s">
        <v>140</v>
      </c>
      <c r="C289" s="169"/>
      <c r="D289" s="169"/>
      <c r="E289" s="169"/>
      <c r="F289" s="170">
        <f t="shared" si="54"/>
        <v>0</v>
      </c>
      <c r="G289" s="170">
        <f t="shared" si="51"/>
        <v>1.0277777777777778E-2</v>
      </c>
      <c r="H289" s="170">
        <f t="shared" si="51"/>
        <v>3.8888888888888888E-3</v>
      </c>
      <c r="I289" s="170">
        <f t="shared" si="51"/>
        <v>3.8888888888888888E-3</v>
      </c>
      <c r="J289" s="170">
        <f t="shared" si="51"/>
        <v>2.7777777777777779E-3</v>
      </c>
      <c r="K289" s="170">
        <f t="shared" si="51"/>
        <v>2.7777777777777779E-3</v>
      </c>
      <c r="L289" s="170">
        <f t="shared" si="51"/>
        <v>2.7777777777777779E-3</v>
      </c>
      <c r="M289" s="170">
        <f t="shared" si="51"/>
        <v>2.7777777777777779E-3</v>
      </c>
      <c r="N289" s="170">
        <f t="shared" si="51"/>
        <v>2.7777777777777779E-3</v>
      </c>
      <c r="O289" s="170">
        <f t="shared" si="51"/>
        <v>0</v>
      </c>
      <c r="P289" s="170">
        <f t="shared" si="51"/>
        <v>0</v>
      </c>
      <c r="Q289" s="170">
        <f t="shared" si="51"/>
        <v>0</v>
      </c>
      <c r="R289" s="170">
        <f t="shared" si="51"/>
        <v>0</v>
      </c>
      <c r="T289" s="170">
        <f t="shared" si="52"/>
        <v>0</v>
      </c>
      <c r="V289" s="171">
        <v>3.6999999999999998E-2</v>
      </c>
      <c r="W289" s="171">
        <v>1.4E-2</v>
      </c>
      <c r="X289" s="171">
        <v>1.4E-2</v>
      </c>
      <c r="Y289" s="169">
        <v>0.01</v>
      </c>
      <c r="Z289" s="169">
        <f t="shared" si="53"/>
        <v>0.01</v>
      </c>
      <c r="AA289" s="169">
        <f t="shared" si="53"/>
        <v>0.01</v>
      </c>
      <c r="AB289" s="169">
        <f t="shared" si="53"/>
        <v>0.01</v>
      </c>
      <c r="AC289" s="169">
        <f t="shared" si="53"/>
        <v>0.01</v>
      </c>
      <c r="AD289" s="169"/>
      <c r="AE289" s="169"/>
      <c r="AF289" s="169"/>
      <c r="AG289" s="169"/>
    </row>
    <row r="290" spans="2:33" hidden="1" outlineLevel="1" x14ac:dyDescent="0.2">
      <c r="B290" s="169" t="s">
        <v>141</v>
      </c>
      <c r="C290" s="169"/>
      <c r="D290" s="169"/>
      <c r="E290" s="169"/>
      <c r="F290" s="170">
        <f t="shared" si="54"/>
        <v>0</v>
      </c>
      <c r="G290" s="170">
        <f t="shared" si="51"/>
        <v>0.2336111111111111</v>
      </c>
      <c r="H290" s="170">
        <f t="shared" si="51"/>
        <v>0.24611111111111111</v>
      </c>
      <c r="I290" s="170">
        <f t="shared" si="51"/>
        <v>0.2283333333333333</v>
      </c>
      <c r="J290" s="170">
        <f t="shared" si="51"/>
        <v>0.21111111111111114</v>
      </c>
      <c r="K290" s="170">
        <f t="shared" si="51"/>
        <v>0.19722222222222222</v>
      </c>
      <c r="L290" s="170">
        <f t="shared" si="51"/>
        <v>0.19722222222222222</v>
      </c>
      <c r="M290" s="170">
        <f t="shared" si="51"/>
        <v>0.19722222222222222</v>
      </c>
      <c r="N290" s="170">
        <f t="shared" si="51"/>
        <v>0.19722222222222222</v>
      </c>
      <c r="O290" s="170">
        <f t="shared" si="51"/>
        <v>0</v>
      </c>
      <c r="P290" s="170">
        <f t="shared" si="51"/>
        <v>0</v>
      </c>
      <c r="Q290" s="170">
        <f t="shared" si="51"/>
        <v>0</v>
      </c>
      <c r="R290" s="170">
        <f t="shared" si="51"/>
        <v>0</v>
      </c>
      <c r="T290" s="170">
        <f t="shared" si="52"/>
        <v>0</v>
      </c>
      <c r="V290" s="171">
        <v>0.84099999999999997</v>
      </c>
      <c r="W290" s="171">
        <v>0.88600000000000001</v>
      </c>
      <c r="X290" s="171">
        <v>0.82199999999999995</v>
      </c>
      <c r="Y290" s="169">
        <v>0.76</v>
      </c>
      <c r="Z290" s="169">
        <v>0.71</v>
      </c>
      <c r="AA290" s="169">
        <f t="shared" si="53"/>
        <v>0.71</v>
      </c>
      <c r="AB290" s="169">
        <f t="shared" si="53"/>
        <v>0.71</v>
      </c>
      <c r="AC290" s="169">
        <f t="shared" si="53"/>
        <v>0.71</v>
      </c>
      <c r="AD290" s="169"/>
      <c r="AE290" s="169"/>
      <c r="AF290" s="169"/>
      <c r="AG290" s="169"/>
    </row>
    <row r="291" spans="2:33" hidden="1" outlineLevel="1" x14ac:dyDescent="0.2">
      <c r="B291" s="169" t="s">
        <v>142</v>
      </c>
      <c r="C291" s="169"/>
      <c r="D291" s="169"/>
      <c r="E291" s="169"/>
      <c r="F291" s="170">
        <f t="shared" si="54"/>
        <v>0</v>
      </c>
      <c r="G291" s="170">
        <f t="shared" si="51"/>
        <v>0.26750000000000002</v>
      </c>
      <c r="H291" s="170">
        <f t="shared" si="51"/>
        <v>0.23944444444444446</v>
      </c>
      <c r="I291" s="170">
        <f t="shared" si="51"/>
        <v>0.245</v>
      </c>
      <c r="J291" s="170">
        <f t="shared" si="51"/>
        <v>0.24166666666666667</v>
      </c>
      <c r="K291" s="170">
        <f t="shared" si="51"/>
        <v>0.22777777777777777</v>
      </c>
      <c r="L291" s="170">
        <f t="shared" si="51"/>
        <v>0.22777777777777777</v>
      </c>
      <c r="M291" s="170">
        <f t="shared" si="51"/>
        <v>0.22777777777777777</v>
      </c>
      <c r="N291" s="170">
        <f t="shared" si="51"/>
        <v>0.22777777777777777</v>
      </c>
      <c r="O291" s="170">
        <f t="shared" si="51"/>
        <v>0</v>
      </c>
      <c r="P291" s="170">
        <f t="shared" si="51"/>
        <v>0</v>
      </c>
      <c r="Q291" s="170">
        <f t="shared" si="51"/>
        <v>0</v>
      </c>
      <c r="R291" s="170">
        <f t="shared" si="51"/>
        <v>0</v>
      </c>
      <c r="T291" s="170">
        <f t="shared" si="52"/>
        <v>0</v>
      </c>
      <c r="V291" s="171">
        <v>0.96299999999999997</v>
      </c>
      <c r="W291" s="171">
        <v>0.86199999999999999</v>
      </c>
      <c r="X291" s="171">
        <v>0.88200000000000001</v>
      </c>
      <c r="Y291" s="169">
        <v>0.87</v>
      </c>
      <c r="Z291" s="169">
        <v>0.82</v>
      </c>
      <c r="AA291" s="169">
        <f t="shared" si="53"/>
        <v>0.82</v>
      </c>
      <c r="AB291" s="169">
        <f t="shared" si="53"/>
        <v>0.82</v>
      </c>
      <c r="AC291" s="169">
        <f t="shared" si="53"/>
        <v>0.82</v>
      </c>
      <c r="AD291" s="169"/>
      <c r="AE291" s="169"/>
      <c r="AF291" s="169"/>
      <c r="AG291" s="169"/>
    </row>
    <row r="292" spans="2:33" hidden="1" outlineLevel="1" x14ac:dyDescent="0.2">
      <c r="B292" s="169" t="s">
        <v>143</v>
      </c>
      <c r="C292" s="169"/>
      <c r="D292" s="169"/>
      <c r="E292" s="169"/>
      <c r="F292" s="170">
        <f t="shared" si="54"/>
        <v>0</v>
      </c>
      <c r="G292" s="170">
        <f t="shared" si="51"/>
        <v>4.1666666666666666E-3</v>
      </c>
      <c r="H292" s="170">
        <f t="shared" si="51"/>
        <v>4.7222222222222223E-3</v>
      </c>
      <c r="I292" s="170">
        <f t="shared" si="51"/>
        <v>4.7222222222222223E-3</v>
      </c>
      <c r="J292" s="170">
        <f t="shared" si="51"/>
        <v>5.5555555555555558E-3</v>
      </c>
      <c r="K292" s="170">
        <f t="shared" si="51"/>
        <v>5.5555555555555558E-3</v>
      </c>
      <c r="L292" s="170">
        <f t="shared" si="51"/>
        <v>5.5555555555555558E-3</v>
      </c>
      <c r="M292" s="170">
        <f t="shared" si="51"/>
        <v>5.5555555555555558E-3</v>
      </c>
      <c r="N292" s="170">
        <f t="shared" si="51"/>
        <v>5.5555555555555558E-3</v>
      </c>
      <c r="O292" s="170">
        <f t="shared" si="51"/>
        <v>0</v>
      </c>
      <c r="P292" s="170">
        <f t="shared" si="51"/>
        <v>0</v>
      </c>
      <c r="Q292" s="170">
        <f t="shared" si="51"/>
        <v>0</v>
      </c>
      <c r="R292" s="170">
        <f t="shared" si="51"/>
        <v>0</v>
      </c>
      <c r="T292" s="170">
        <f t="shared" si="52"/>
        <v>0</v>
      </c>
      <c r="V292" s="169">
        <v>1.4999999999999999E-2</v>
      </c>
      <c r="W292" s="169">
        <v>1.7000000000000001E-2</v>
      </c>
      <c r="X292" s="169">
        <v>1.7000000000000001E-2</v>
      </c>
      <c r="Y292" s="169">
        <v>0.02</v>
      </c>
      <c r="Z292" s="169">
        <f t="shared" si="53"/>
        <v>0.02</v>
      </c>
      <c r="AA292" s="169">
        <f t="shared" si="53"/>
        <v>0.02</v>
      </c>
      <c r="AB292" s="169">
        <f t="shared" si="53"/>
        <v>0.02</v>
      </c>
      <c r="AC292" s="169">
        <f t="shared" si="53"/>
        <v>0.02</v>
      </c>
      <c r="AD292" s="169"/>
      <c r="AE292" s="169"/>
      <c r="AF292" s="169"/>
      <c r="AG292" s="169"/>
    </row>
    <row r="293" spans="2:33" ht="12.75" hidden="1" customHeight="1" outlineLevel="1" x14ac:dyDescent="0.2">
      <c r="B293" s="172">
        <f>T293</f>
        <v>0</v>
      </c>
      <c r="C293" s="172"/>
      <c r="D293" s="172"/>
      <c r="E293" s="172"/>
      <c r="V293" s="173"/>
      <c r="W293" s="173"/>
      <c r="X293" s="173"/>
      <c r="Y293" s="173"/>
      <c r="Z293" s="173"/>
      <c r="AA293" s="173"/>
      <c r="AB293" s="173"/>
      <c r="AC293" s="173"/>
      <c r="AD293" s="173"/>
      <c r="AE293" s="173"/>
      <c r="AF293" s="173"/>
      <c r="AG293" s="173"/>
    </row>
    <row r="294" spans="2:33" hidden="1" outlineLevel="1" x14ac:dyDescent="0.2"/>
    <row r="295" spans="2:33" hidden="1" outlineLevel="1" x14ac:dyDescent="0.2">
      <c r="B295" s="174" t="s">
        <v>144</v>
      </c>
      <c r="C295" s="174"/>
      <c r="D295" s="174"/>
      <c r="E295" s="174"/>
      <c r="F295" s="85" t="s">
        <v>145</v>
      </c>
    </row>
    <row r="296" spans="2:33" hidden="1" outlineLevel="1" x14ac:dyDescent="0.2">
      <c r="B296" s="85"/>
      <c r="C296" s="85"/>
      <c r="D296" s="85"/>
      <c r="E296" s="85"/>
      <c r="F296" s="85" t="s">
        <v>146</v>
      </c>
      <c r="V296" s="135"/>
      <c r="W296" s="175"/>
      <c r="X296" s="137"/>
      <c r="Y296" s="138"/>
      <c r="Z296" s="139"/>
      <c r="AA296" s="140"/>
    </row>
    <row r="297" spans="2:33" s="65" customFormat="1" ht="12.75" hidden="1" customHeight="1" outlineLevel="1" x14ac:dyDescent="0.2">
      <c r="B297" s="156"/>
      <c r="C297" s="156"/>
      <c r="D297" s="156"/>
      <c r="E297" s="156"/>
      <c r="F297" s="161"/>
      <c r="G297" s="158"/>
      <c r="H297" s="159"/>
      <c r="I297" s="156"/>
      <c r="J297" s="159"/>
      <c r="K297" s="160"/>
      <c r="L297" s="159"/>
      <c r="M297" s="160"/>
      <c r="N297" s="160"/>
      <c r="O297" s="160"/>
      <c r="P297" s="160"/>
      <c r="Q297" s="160"/>
      <c r="R297" s="162"/>
      <c r="S297" s="148"/>
      <c r="T297" s="162"/>
      <c r="U297" s="148"/>
      <c r="V297" s="148"/>
    </row>
    <row r="298" spans="2:33" s="65" customFormat="1" ht="12.75" hidden="1" customHeight="1" outlineLevel="1" x14ac:dyDescent="0.2">
      <c r="B298" s="156"/>
      <c r="C298" s="156"/>
      <c r="D298" s="156"/>
      <c r="E298" s="156"/>
      <c r="F298" s="161"/>
      <c r="G298" s="158"/>
      <c r="H298" s="159"/>
      <c r="I298" s="156"/>
      <c r="J298" s="159"/>
      <c r="K298" s="160"/>
      <c r="L298" s="159"/>
      <c r="M298" s="160"/>
      <c r="N298" s="160"/>
      <c r="O298" s="160"/>
      <c r="P298" s="160"/>
      <c r="Q298" s="160"/>
      <c r="R298" s="162"/>
      <c r="S298" s="148"/>
      <c r="T298" s="162"/>
      <c r="U298" s="148"/>
      <c r="V298" s="148"/>
    </row>
    <row r="299" spans="2:33" hidden="1" outlineLevel="1" x14ac:dyDescent="0.2">
      <c r="B299" s="176" t="s">
        <v>147</v>
      </c>
      <c r="C299" s="177"/>
      <c r="D299" s="177"/>
      <c r="E299" s="177"/>
      <c r="F299" s="178"/>
      <c r="G299" s="179"/>
      <c r="H299" s="178"/>
      <c r="I299" s="180"/>
    </row>
    <row r="300" spans="2:33" hidden="1" outlineLevel="1" x14ac:dyDescent="0.2">
      <c r="B300" s="181" t="s">
        <v>148</v>
      </c>
      <c r="C300" s="182"/>
      <c r="D300" s="182"/>
      <c r="E300" s="182"/>
      <c r="F300" s="182"/>
      <c r="G300" s="183"/>
      <c r="H300" s="181">
        <v>3962</v>
      </c>
      <c r="I300" s="184" t="s">
        <v>149</v>
      </c>
    </row>
    <row r="301" spans="2:33" hidden="1" outlineLevel="1" x14ac:dyDescent="0.2">
      <c r="B301" s="181" t="s">
        <v>150</v>
      </c>
      <c r="C301" s="182"/>
      <c r="D301" s="182"/>
      <c r="E301" s="182"/>
      <c r="F301" s="182"/>
      <c r="G301" s="183"/>
      <c r="H301" s="181">
        <v>31.7</v>
      </c>
      <c r="I301" s="184" t="s">
        <v>151</v>
      </c>
    </row>
    <row r="302" spans="2:33" hidden="1" outlineLevel="1" x14ac:dyDescent="0.2">
      <c r="B302" s="181" t="s">
        <v>152</v>
      </c>
      <c r="C302" s="182"/>
      <c r="D302" s="182"/>
      <c r="E302" s="182"/>
      <c r="F302" s="182"/>
      <c r="G302" s="183"/>
      <c r="H302" s="185">
        <f>H301/H300*1000</f>
        <v>8.0010095911155972</v>
      </c>
      <c r="I302" s="184" t="s">
        <v>153</v>
      </c>
    </row>
    <row r="303" spans="2:33" hidden="1" outlineLevel="1" x14ac:dyDescent="0.2">
      <c r="B303" s="39" t="s">
        <v>154</v>
      </c>
    </row>
    <row r="304" spans="2:33" s="65" customFormat="1" ht="12.75" hidden="1" customHeight="1" outlineLevel="1" x14ac:dyDescent="0.2">
      <c r="B304" s="156"/>
      <c r="C304" s="156"/>
      <c r="D304" s="156"/>
      <c r="E304" s="156"/>
      <c r="F304" s="161"/>
      <c r="G304" s="158"/>
      <c r="H304" s="159"/>
      <c r="I304" s="156"/>
      <c r="J304" s="159"/>
      <c r="K304" s="160"/>
      <c r="L304" s="159"/>
      <c r="M304" s="160"/>
      <c r="N304" s="160"/>
      <c r="O304" s="160"/>
      <c r="P304" s="160"/>
      <c r="Q304" s="160"/>
      <c r="R304" s="162"/>
      <c r="S304" s="148"/>
      <c r="T304" s="162"/>
      <c r="U304" s="148"/>
      <c r="V304" s="148"/>
    </row>
    <row r="305" spans="2:27" s="65" customFormat="1" ht="12.75" hidden="1" customHeight="1" outlineLevel="1" x14ac:dyDescent="0.2">
      <c r="B305" s="156"/>
      <c r="C305" s="156"/>
      <c r="D305" s="156"/>
      <c r="E305" s="156"/>
      <c r="F305" s="161"/>
      <c r="G305" s="158"/>
      <c r="H305" s="159"/>
      <c r="I305" s="156"/>
      <c r="J305" s="159"/>
      <c r="K305" s="160"/>
      <c r="L305" s="159"/>
      <c r="M305" s="160"/>
      <c r="N305" s="160"/>
      <c r="O305" s="160"/>
      <c r="P305" s="160"/>
      <c r="Q305" s="160"/>
      <c r="R305" s="162"/>
      <c r="S305" s="148"/>
      <c r="T305" s="162"/>
      <c r="U305" s="148"/>
      <c r="V305" s="148"/>
    </row>
    <row r="306" spans="2:27" hidden="1" outlineLevel="1" x14ac:dyDescent="0.2">
      <c r="B306" s="186" t="s">
        <v>155</v>
      </c>
      <c r="C306" s="187"/>
      <c r="D306" s="187"/>
      <c r="E306" s="187"/>
      <c r="F306" s="188"/>
      <c r="G306" s="189"/>
      <c r="H306" s="190"/>
      <c r="I306" s="190"/>
      <c r="J306" s="190"/>
      <c r="K306" s="190"/>
      <c r="L306" s="190"/>
      <c r="M306" s="191"/>
      <c r="V306" s="135"/>
      <c r="W306" s="137"/>
      <c r="X306" s="137"/>
      <c r="Y306" s="138"/>
      <c r="Z306" s="139"/>
      <c r="AA306" s="140"/>
    </row>
    <row r="307" spans="2:27" hidden="1" outlineLevel="1" x14ac:dyDescent="0.2">
      <c r="B307" s="192" t="s">
        <v>6</v>
      </c>
      <c r="C307" s="192"/>
      <c r="D307" s="192"/>
      <c r="E307" s="192"/>
      <c r="F307" s="193" t="s">
        <v>156</v>
      </c>
      <c r="G307" s="193" t="s">
        <v>157</v>
      </c>
      <c r="H307" s="193" t="s">
        <v>20</v>
      </c>
      <c r="I307" s="193" t="s">
        <v>21</v>
      </c>
      <c r="J307" s="193" t="s">
        <v>157</v>
      </c>
      <c r="K307" s="193" t="s">
        <v>20</v>
      </c>
      <c r="L307" s="193" t="s">
        <v>21</v>
      </c>
      <c r="M307" s="193" t="s">
        <v>158</v>
      </c>
      <c r="V307" s="135"/>
      <c r="W307" s="137"/>
      <c r="X307" s="137"/>
      <c r="Y307" s="138"/>
      <c r="Z307" s="139"/>
      <c r="AA307" s="140"/>
    </row>
    <row r="308" spans="2:27" hidden="1" outlineLevel="1" x14ac:dyDescent="0.2">
      <c r="B308" s="194"/>
      <c r="C308" s="194"/>
      <c r="D308" s="194"/>
      <c r="E308" s="194"/>
      <c r="F308" s="195"/>
      <c r="G308" s="195" t="s">
        <v>159</v>
      </c>
      <c r="H308" s="195" t="s">
        <v>159</v>
      </c>
      <c r="I308" s="195" t="s">
        <v>159</v>
      </c>
      <c r="J308" s="195" t="s">
        <v>160</v>
      </c>
      <c r="K308" s="195" t="s">
        <v>160</v>
      </c>
      <c r="L308" s="195" t="s">
        <v>160</v>
      </c>
      <c r="M308" s="195" t="s">
        <v>160</v>
      </c>
      <c r="V308" s="135"/>
      <c r="W308" s="137"/>
      <c r="X308" s="137"/>
      <c r="Y308" s="138"/>
      <c r="Z308" s="139"/>
      <c r="AA308" s="140"/>
    </row>
    <row r="309" spans="2:27" hidden="1" outlineLevel="1" x14ac:dyDescent="0.2">
      <c r="B309" s="196" t="s">
        <v>43</v>
      </c>
      <c r="C309" s="196"/>
      <c r="D309" s="196"/>
      <c r="E309" s="196"/>
      <c r="F309" s="197" t="s">
        <v>161</v>
      </c>
      <c r="G309" s="197">
        <f>1891/1000000</f>
        <v>1.8910000000000001E-3</v>
      </c>
      <c r="H309" s="197">
        <f>0.037/1000000</f>
        <v>3.7E-8</v>
      </c>
      <c r="I309" s="197">
        <f>0.035/1000000</f>
        <v>3.5000000000000002E-8</v>
      </c>
      <c r="J309" s="197">
        <f>G309</f>
        <v>1.8910000000000001E-3</v>
      </c>
      <c r="K309" s="197">
        <f>H309*$O$7</f>
        <v>9.2500000000000004E-7</v>
      </c>
      <c r="L309" s="197">
        <f>H309*$O$8</f>
        <v>1.1026000000000001E-5</v>
      </c>
      <c r="M309" s="198">
        <f>SUM(J309:L309)</f>
        <v>1.9029509999999999E-3</v>
      </c>
      <c r="N309" s="199" t="s">
        <v>162</v>
      </c>
      <c r="V309" s="135"/>
      <c r="W309" s="137"/>
      <c r="X309" s="137"/>
      <c r="Y309" s="138"/>
      <c r="Z309" s="139"/>
      <c r="AA309" s="140"/>
    </row>
    <row r="310" spans="2:27" hidden="1" outlineLevel="1" x14ac:dyDescent="0.2">
      <c r="B310" s="169" t="s">
        <v>49</v>
      </c>
      <c r="C310" s="169"/>
      <c r="D310" s="169"/>
      <c r="E310" s="169"/>
      <c r="F310" s="197" t="s">
        <v>163</v>
      </c>
      <c r="G310" s="197">
        <f>2830/1000000</f>
        <v>2.8300000000000001E-3</v>
      </c>
      <c r="H310" s="197">
        <f>0.026/1000000</f>
        <v>2.5999999999999998E-8</v>
      </c>
      <c r="I310" s="197">
        <f>0.031/1000000</f>
        <v>3.1E-8</v>
      </c>
      <c r="J310" s="197">
        <f>G310</f>
        <v>2.8300000000000001E-3</v>
      </c>
      <c r="K310" s="197">
        <f>H310*$O$7</f>
        <v>6.4999999999999992E-7</v>
      </c>
      <c r="L310" s="197">
        <f>H310*$O$8</f>
        <v>7.7479999999999993E-6</v>
      </c>
      <c r="M310" s="198">
        <f>SUM(J310:L310)</f>
        <v>2.8383980000000002E-3</v>
      </c>
      <c r="V310" s="135"/>
      <c r="W310" s="137"/>
      <c r="X310" s="137"/>
      <c r="Y310" s="138"/>
      <c r="Z310" s="139"/>
      <c r="AA310" s="140"/>
    </row>
    <row r="311" spans="2:27" hidden="1" outlineLevel="1" x14ac:dyDescent="0.2">
      <c r="B311" s="169" t="s">
        <v>43</v>
      </c>
      <c r="C311" s="169"/>
      <c r="D311" s="169"/>
      <c r="E311" s="169"/>
      <c r="F311" s="197" t="s">
        <v>164</v>
      </c>
      <c r="G311" s="197">
        <f>G309/$F$57</f>
        <v>5.0697050938337804E-2</v>
      </c>
      <c r="H311" s="197">
        <f>H309/$F$57</f>
        <v>9.9195710455764078E-7</v>
      </c>
      <c r="I311" s="197">
        <f>I309/$F$57</f>
        <v>9.3833780160857918E-7</v>
      </c>
      <c r="J311" s="197">
        <f>G311</f>
        <v>5.0697050938337804E-2</v>
      </c>
      <c r="K311" s="197">
        <f>H311*$O$7</f>
        <v>2.4798927613941018E-5</v>
      </c>
      <c r="L311" s="197">
        <f>H311*$O$8</f>
        <v>2.9560321715817693E-4</v>
      </c>
      <c r="M311" s="198">
        <f>SUM(J311:L311)</f>
        <v>5.1017453083109926E-2</v>
      </c>
      <c r="N311" s="200" t="s">
        <v>165</v>
      </c>
      <c r="V311" s="201"/>
      <c r="W311" s="137"/>
      <c r="X311" s="137"/>
      <c r="Y311" s="138"/>
      <c r="Z311" s="139"/>
      <c r="AA311" s="140"/>
    </row>
    <row r="312" spans="2:27" hidden="1" outlineLevel="1" x14ac:dyDescent="0.2">
      <c r="B312" s="169" t="s">
        <v>49</v>
      </c>
      <c r="C312" s="169"/>
      <c r="D312" s="169"/>
      <c r="E312" s="169"/>
      <c r="F312" s="197" t="s">
        <v>164</v>
      </c>
      <c r="G312" s="197">
        <f>G310/$F$59</f>
        <v>7.7069716775599137E-2</v>
      </c>
      <c r="H312" s="197">
        <f>H310/$F$59</f>
        <v>7.0806100217864924E-7</v>
      </c>
      <c r="I312" s="197">
        <f>I310/$F$59</f>
        <v>8.4422657952069727E-7</v>
      </c>
      <c r="J312" s="197">
        <f>G312</f>
        <v>7.7069716775599137E-2</v>
      </c>
      <c r="K312" s="197">
        <f>H312*$O$7</f>
        <v>1.7701525054466233E-5</v>
      </c>
      <c r="L312" s="197">
        <f>H312*$O$8</f>
        <v>2.1100217864923748E-4</v>
      </c>
      <c r="M312" s="198">
        <f>SUM(J312:L312)</f>
        <v>7.729842047930284E-2</v>
      </c>
      <c r="V312" s="135"/>
      <c r="W312" s="137"/>
      <c r="X312" s="137"/>
      <c r="Y312" s="138"/>
      <c r="Z312" s="139"/>
      <c r="AA312" s="140"/>
    </row>
    <row r="313" spans="2:27" hidden="1" outlineLevel="1" x14ac:dyDescent="0.2">
      <c r="B313" s="85" t="s">
        <v>166</v>
      </c>
      <c r="C313" s="85"/>
      <c r="D313" s="85"/>
      <c r="E313" s="85"/>
    </row>
    <row r="314" spans="2:27" hidden="1" outlineLevel="1" x14ac:dyDescent="0.2"/>
    <row r="315" spans="2:27" hidden="1" outlineLevel="1" x14ac:dyDescent="0.2"/>
    <row r="316" spans="2:27" hidden="1" outlineLevel="1" x14ac:dyDescent="0.2"/>
    <row r="317" spans="2:27" hidden="1" outlineLevel="1" x14ac:dyDescent="0.2">
      <c r="B317" s="86"/>
      <c r="C317" s="86"/>
      <c r="D317" s="86"/>
      <c r="E317" s="202" t="s">
        <v>17</v>
      </c>
      <c r="F317" s="203">
        <v>1</v>
      </c>
      <c r="G317" s="203">
        <v>25</v>
      </c>
      <c r="H317" s="203">
        <v>298</v>
      </c>
    </row>
    <row r="318" spans="2:27" s="207" customFormat="1" hidden="1" outlineLevel="1" x14ac:dyDescent="0.2">
      <c r="B318" s="17" t="s">
        <v>109</v>
      </c>
      <c r="C318" s="17" t="s">
        <v>6</v>
      </c>
      <c r="D318" s="116" t="s">
        <v>111</v>
      </c>
      <c r="E318" s="116" t="s">
        <v>112</v>
      </c>
      <c r="F318" s="116" t="s">
        <v>19</v>
      </c>
      <c r="G318" s="116" t="s">
        <v>20</v>
      </c>
      <c r="H318" s="116" t="s">
        <v>21</v>
      </c>
      <c r="I318" s="204" t="s">
        <v>167</v>
      </c>
      <c r="J318" s="205" t="s">
        <v>8</v>
      </c>
      <c r="K318" s="206" t="s">
        <v>168</v>
      </c>
      <c r="L318" s="116">
        <v>2012</v>
      </c>
      <c r="M318" s="116"/>
      <c r="N318" s="116" t="s">
        <v>169</v>
      </c>
      <c r="O318" s="17"/>
      <c r="P318" s="17"/>
      <c r="Q318" s="17"/>
      <c r="R318" s="39"/>
      <c r="S318" s="39"/>
      <c r="T318" s="39"/>
      <c r="U318" s="39"/>
      <c r="V318" s="39"/>
      <c r="W318" s="39"/>
    </row>
    <row r="319" spans="2:27" ht="13.5" hidden="1" customHeight="1" outlineLevel="1" x14ac:dyDescent="0.2">
      <c r="B319" s="208" t="s">
        <v>93</v>
      </c>
      <c r="C319" s="208" t="s">
        <v>71</v>
      </c>
      <c r="D319" s="209">
        <v>0</v>
      </c>
      <c r="E319" s="209">
        <v>1</v>
      </c>
      <c r="F319" s="210"/>
      <c r="G319" s="211"/>
      <c r="H319" s="211"/>
      <c r="I319" s="212"/>
      <c r="J319" s="213" t="s">
        <v>170</v>
      </c>
      <c r="K319" s="214"/>
      <c r="L319" s="215"/>
      <c r="M319" s="214"/>
      <c r="N319" s="215"/>
      <c r="O319" s="216"/>
      <c r="P319" s="217"/>
      <c r="Q319" s="208"/>
    </row>
    <row r="320" spans="2:27" ht="13.5" hidden="1" customHeight="1" outlineLevel="1" x14ac:dyDescent="0.2">
      <c r="B320" s="208" t="s">
        <v>93</v>
      </c>
      <c r="C320" s="208" t="s">
        <v>61</v>
      </c>
      <c r="D320" s="209">
        <v>0</v>
      </c>
      <c r="E320" s="209">
        <v>1</v>
      </c>
      <c r="F320" s="210"/>
      <c r="G320" s="211"/>
      <c r="H320" s="211"/>
      <c r="I320" s="218"/>
      <c r="J320" s="213" t="s">
        <v>170</v>
      </c>
      <c r="K320" s="214"/>
      <c r="L320" s="215">
        <f>2.449*1000</f>
        <v>2449</v>
      </c>
      <c r="M320" s="214" t="s">
        <v>171</v>
      </c>
      <c r="N320" s="215">
        <v>214</v>
      </c>
      <c r="O320" s="216" t="s">
        <v>172</v>
      </c>
      <c r="P320" s="217"/>
      <c r="Q320" s="208"/>
    </row>
    <row r="321" spans="2:17" ht="13.5" hidden="1" customHeight="1" outlineLevel="1" x14ac:dyDescent="0.2">
      <c r="B321" s="208" t="s">
        <v>93</v>
      </c>
      <c r="C321" s="208" t="s">
        <v>102</v>
      </c>
      <c r="D321" s="209">
        <v>1</v>
      </c>
      <c r="E321" s="209">
        <v>0</v>
      </c>
      <c r="F321" s="210">
        <v>2.2894736842105261</v>
      </c>
      <c r="G321" s="211"/>
      <c r="H321" s="211"/>
      <c r="I321" s="218"/>
      <c r="J321" s="213" t="s">
        <v>170</v>
      </c>
      <c r="K321" s="214"/>
      <c r="L321" s="215">
        <f>2.449*1000</f>
        <v>2449</v>
      </c>
      <c r="M321" s="214" t="s">
        <v>171</v>
      </c>
      <c r="N321" s="215">
        <v>214</v>
      </c>
      <c r="O321" s="216" t="s">
        <v>172</v>
      </c>
      <c r="P321" s="217"/>
      <c r="Q321" s="208"/>
    </row>
    <row r="322" spans="2:17" ht="13.5" hidden="1" customHeight="1" outlineLevel="1" x14ac:dyDescent="0.2">
      <c r="B322" s="208" t="s">
        <v>93</v>
      </c>
      <c r="C322" s="208" t="s">
        <v>104</v>
      </c>
      <c r="D322" s="209">
        <v>1</v>
      </c>
      <c r="E322" s="209">
        <v>0</v>
      </c>
      <c r="F322" s="210">
        <v>2.6625000000000001</v>
      </c>
      <c r="G322" s="211"/>
      <c r="H322" s="211"/>
      <c r="I322" s="218"/>
      <c r="J322" s="213" t="s">
        <v>170</v>
      </c>
      <c r="K322" s="214"/>
      <c r="L322" s="215">
        <f>2.449*1000</f>
        <v>2449</v>
      </c>
      <c r="M322" s="214" t="s">
        <v>171</v>
      </c>
      <c r="N322" s="215">
        <v>214</v>
      </c>
      <c r="O322" s="216" t="s">
        <v>172</v>
      </c>
      <c r="P322" s="217"/>
      <c r="Q322" s="208"/>
    </row>
    <row r="323" spans="2:17" hidden="1" outlineLevel="1" x14ac:dyDescent="0.2">
      <c r="B323" s="82" t="s">
        <v>95</v>
      </c>
      <c r="C323" s="94" t="s">
        <v>52</v>
      </c>
      <c r="D323" s="118">
        <v>0.95</v>
      </c>
      <c r="E323" s="118">
        <v>0.05</v>
      </c>
      <c r="F323" s="219">
        <v>2.1749999999999998</v>
      </c>
      <c r="G323" s="220">
        <v>2.3000000000000001E-4</v>
      </c>
      <c r="H323" s="220">
        <v>4.6999999999999999E-4</v>
      </c>
      <c r="I323" s="221">
        <f xml:space="preserve"> SUMPRODUCT(F323:H323,$F$317:$H$317)*1000</f>
        <v>2320.81</v>
      </c>
      <c r="J323" s="222" t="s">
        <v>170</v>
      </c>
      <c r="K323" s="223"/>
      <c r="L323" s="224">
        <f>(0.0747+2.175+0.00024+0.00058)*1000</f>
        <v>2250.5199999999995</v>
      </c>
      <c r="M323" s="223" t="s">
        <v>171</v>
      </c>
      <c r="N323" s="225">
        <v>2341.1</v>
      </c>
      <c r="O323" s="226" t="s">
        <v>173</v>
      </c>
      <c r="P323" s="117"/>
      <c r="Q323" s="94"/>
    </row>
    <row r="324" spans="2:17" hidden="1" outlineLevel="1" x14ac:dyDescent="0.2">
      <c r="B324" s="39" t="s">
        <v>95</v>
      </c>
      <c r="C324" s="82" t="s">
        <v>51</v>
      </c>
      <c r="D324" s="121">
        <v>0.96</v>
      </c>
      <c r="E324" s="121">
        <v>0.04</v>
      </c>
      <c r="F324" s="227">
        <v>2.556</v>
      </c>
      <c r="G324" s="228">
        <v>5.1E-5</v>
      </c>
      <c r="H324" s="228">
        <v>2.2000000000000001E-4</v>
      </c>
      <c r="I324" s="221">
        <f xml:space="preserve"> SUMPRODUCT(F324:H324,$F$317:$H$317)*1000</f>
        <v>2622.835</v>
      </c>
      <c r="J324" s="229" t="s">
        <v>170</v>
      </c>
      <c r="K324" s="223"/>
      <c r="L324" s="224">
        <f>(0.098+2.556+0.000068+0.00022)*1000</f>
        <v>2654.288</v>
      </c>
      <c r="M324" s="230" t="s">
        <v>171</v>
      </c>
      <c r="N324" s="224">
        <v>2690.9</v>
      </c>
      <c r="O324" s="231" t="s">
        <v>173</v>
      </c>
      <c r="P324" s="120"/>
      <c r="Q324" s="82"/>
    </row>
    <row r="325" spans="2:17" hidden="1" outlineLevel="1" x14ac:dyDescent="0.2">
      <c r="B325" s="39" t="s">
        <v>95</v>
      </c>
      <c r="C325" s="82" t="s">
        <v>71</v>
      </c>
      <c r="D325" s="121">
        <v>1</v>
      </c>
      <c r="E325" s="121">
        <v>0</v>
      </c>
      <c r="F325" s="227">
        <f>$F$319</f>
        <v>0</v>
      </c>
      <c r="G325" s="228">
        <f>G323</f>
        <v>2.3000000000000001E-4</v>
      </c>
      <c r="H325" s="228">
        <f>H323</f>
        <v>4.6999999999999999E-4</v>
      </c>
      <c r="I325" s="221">
        <f xml:space="preserve"> SUMPRODUCT(F325:H325,$F$317:$H$317)*1000</f>
        <v>145.81</v>
      </c>
      <c r="J325" s="229" t="s">
        <v>170</v>
      </c>
      <c r="K325" s="223"/>
      <c r="L325" s="224"/>
      <c r="M325" s="230"/>
      <c r="N325" s="224"/>
      <c r="O325" s="231"/>
      <c r="P325" s="120"/>
      <c r="Q325" s="82"/>
    </row>
    <row r="326" spans="2:17" hidden="1" outlineLevel="1" x14ac:dyDescent="0.2">
      <c r="B326" s="39" t="s">
        <v>95</v>
      </c>
      <c r="C326" s="82" t="s">
        <v>61</v>
      </c>
      <c r="D326" s="121">
        <v>1</v>
      </c>
      <c r="E326" s="121">
        <v>0</v>
      </c>
      <c r="F326" s="227">
        <f>$F$320</f>
        <v>0</v>
      </c>
      <c r="G326" s="228">
        <f>G324</f>
        <v>5.1E-5</v>
      </c>
      <c r="H326" s="228">
        <f>H324</f>
        <v>2.2000000000000001E-4</v>
      </c>
      <c r="I326" s="221">
        <f xml:space="preserve"> SUMPRODUCT(F326:H326,$F$317:$H$317)*1000</f>
        <v>66.835000000000008</v>
      </c>
      <c r="J326" s="229" t="s">
        <v>170</v>
      </c>
      <c r="K326" s="223"/>
      <c r="L326" s="224"/>
      <c r="M326" s="230"/>
      <c r="N326" s="224"/>
      <c r="O326" s="231"/>
      <c r="P326" s="120"/>
      <c r="Q326" s="82"/>
    </row>
    <row r="327" spans="2:17" hidden="1" outlineLevel="1" x14ac:dyDescent="0.2">
      <c r="B327" s="39" t="s">
        <v>95</v>
      </c>
      <c r="C327" s="82" t="s">
        <v>105</v>
      </c>
      <c r="D327" s="121">
        <v>1</v>
      </c>
      <c r="E327" s="121">
        <v>0</v>
      </c>
      <c r="F327" s="227">
        <v>1.5069999999999999</v>
      </c>
      <c r="G327" s="228">
        <v>6.4000000000000005E-4</v>
      </c>
      <c r="H327" s="228">
        <v>2.8E-5</v>
      </c>
      <c r="I327" s="221">
        <f xml:space="preserve"> SUMPRODUCT(F327:H327,$F$317:$H$317)*1000</f>
        <v>1531.3439999999998</v>
      </c>
      <c r="J327" s="229" t="s">
        <v>170</v>
      </c>
      <c r="K327" s="223"/>
      <c r="L327" s="224">
        <f>(1.51+0.00064+0.0000028)*1000</f>
        <v>1510.6428000000001</v>
      </c>
      <c r="M327" s="230" t="s">
        <v>171</v>
      </c>
      <c r="N327" s="224">
        <v>1532.1</v>
      </c>
      <c r="O327" s="231" t="s">
        <v>173</v>
      </c>
      <c r="P327" s="120"/>
      <c r="Q327" s="82"/>
    </row>
    <row r="328" spans="2:17" ht="13.5" hidden="1" customHeight="1" outlineLevel="1" x14ac:dyDescent="0.2">
      <c r="B328" s="39" t="s">
        <v>95</v>
      </c>
      <c r="C328" s="82" t="s">
        <v>106</v>
      </c>
      <c r="D328" s="121">
        <v>1</v>
      </c>
      <c r="E328" s="121">
        <v>0</v>
      </c>
      <c r="F328" s="227">
        <v>2.7229999999999999</v>
      </c>
      <c r="G328" s="228">
        <v>1.2999999999999999E-2</v>
      </c>
      <c r="H328" s="228">
        <v>8.6000000000000003E-5</v>
      </c>
      <c r="I328" s="232">
        <f xml:space="preserve"> SUMPRODUCT(F328:H328,$F$317:$H$317)*1000/$F$92</f>
        <v>2027.4591029023748</v>
      </c>
      <c r="J328" s="229" t="s">
        <v>170</v>
      </c>
      <c r="K328" s="223" t="s">
        <v>81</v>
      </c>
      <c r="L328" s="224">
        <f>(2.723+0.013+0.000086)*1000</f>
        <v>2736.0859999999998</v>
      </c>
      <c r="M328" s="230" t="s">
        <v>171</v>
      </c>
      <c r="N328" s="224">
        <v>2.0975999999999999</v>
      </c>
      <c r="O328" s="233" t="s">
        <v>172</v>
      </c>
      <c r="P328" s="120"/>
      <c r="Q328" s="82"/>
    </row>
    <row r="329" spans="2:17" ht="13.5" hidden="1" customHeight="1" outlineLevel="1" x14ac:dyDescent="0.2">
      <c r="B329" s="39" t="s">
        <v>95</v>
      </c>
      <c r="C329" s="82" t="s">
        <v>70</v>
      </c>
      <c r="D329" s="121">
        <v>0.9</v>
      </c>
      <c r="E329" s="121">
        <v>9.9999999999999978E-2</v>
      </c>
      <c r="F329" s="227">
        <f>D329*$F$321</f>
        <v>2.0605263157894735</v>
      </c>
      <c r="G329" s="228">
        <f>G323</f>
        <v>2.3000000000000001E-4</v>
      </c>
      <c r="H329" s="228">
        <f>H323</f>
        <v>4.6999999999999999E-4</v>
      </c>
      <c r="I329" s="221">
        <f t="shared" ref="I329:I338" si="55" xml:space="preserve"> SUMPRODUCT(F329:H329,$F$317:$H$317)*1000</f>
        <v>2206.3363157894737</v>
      </c>
      <c r="J329" s="229" t="s">
        <v>170</v>
      </c>
      <c r="K329" s="223"/>
      <c r="L329" s="224">
        <f>1494*0.1+0.9*L323</f>
        <v>2174.8679999999995</v>
      </c>
      <c r="M329" s="230" t="s">
        <v>171</v>
      </c>
      <c r="N329" s="230">
        <v>2261.61</v>
      </c>
      <c r="O329" s="233" t="s">
        <v>172</v>
      </c>
      <c r="P329" s="120"/>
      <c r="Q329" s="82"/>
    </row>
    <row r="330" spans="2:17" ht="13.5" hidden="1" customHeight="1" outlineLevel="1" x14ac:dyDescent="0.2">
      <c r="B330" s="39" t="s">
        <v>95</v>
      </c>
      <c r="C330" s="82" t="s">
        <v>65</v>
      </c>
      <c r="D330" s="121">
        <v>0.95</v>
      </c>
      <c r="E330" s="121">
        <v>5.0000000000000044E-2</v>
      </c>
      <c r="F330" s="227">
        <f>D330*$F$322</f>
        <v>2.5293749999999999</v>
      </c>
      <c r="G330" s="228">
        <f>G324</f>
        <v>5.1E-5</v>
      </c>
      <c r="H330" s="228">
        <f>H324</f>
        <v>2.2000000000000001E-4</v>
      </c>
      <c r="I330" s="221">
        <f t="shared" si="55"/>
        <v>2596.21</v>
      </c>
      <c r="J330" s="229" t="s">
        <v>170</v>
      </c>
      <c r="K330" s="223"/>
      <c r="L330" s="224">
        <f>(0.95*$I$324)+(0.05*$I$320)</f>
        <v>2491.6932499999998</v>
      </c>
      <c r="M330" s="230" t="s">
        <v>171</v>
      </c>
      <c r="N330" s="224">
        <f>(0.95*$I$324)+(0.05*$I$320)</f>
        <v>2491.6932499999998</v>
      </c>
      <c r="O330" s="233" t="s">
        <v>172</v>
      </c>
      <c r="P330" s="234"/>
      <c r="Q330" s="234"/>
    </row>
    <row r="331" spans="2:17" ht="13.5" hidden="1" customHeight="1" outlineLevel="1" x14ac:dyDescent="0.2">
      <c r="B331" s="39" t="s">
        <v>95</v>
      </c>
      <c r="C331" s="82" t="s">
        <v>114</v>
      </c>
      <c r="D331" s="121">
        <v>0.9</v>
      </c>
      <c r="E331" s="121">
        <v>9.9999999999999978E-2</v>
      </c>
      <c r="F331" s="227">
        <f>D331*$F$322</f>
        <v>2.3962500000000002</v>
      </c>
      <c r="G331" s="228">
        <f>G324</f>
        <v>5.1E-5</v>
      </c>
      <c r="H331" s="228">
        <f>H324</f>
        <v>2.2000000000000001E-4</v>
      </c>
      <c r="I331" s="221">
        <f t="shared" si="55"/>
        <v>2463.0850000000005</v>
      </c>
      <c r="J331" s="229" t="s">
        <v>170</v>
      </c>
      <c r="K331" s="223"/>
      <c r="L331" s="224">
        <f>(0.9*$I$324)+(0.1*$I$320)</f>
        <v>2360.5515</v>
      </c>
      <c r="M331" s="230" t="s">
        <v>171</v>
      </c>
      <c r="N331" s="224">
        <f>(0.9*$I$324)+(0.1*$I$320)</f>
        <v>2360.5515</v>
      </c>
      <c r="O331" s="233" t="s">
        <v>172</v>
      </c>
      <c r="P331" s="120"/>
      <c r="Q331" s="82"/>
    </row>
    <row r="332" spans="2:17" ht="13.5" hidden="1" customHeight="1" outlineLevel="1" x14ac:dyDescent="0.2">
      <c r="B332" s="39" t="s">
        <v>95</v>
      </c>
      <c r="C332" s="82" t="s">
        <v>63</v>
      </c>
      <c r="D332" s="121">
        <v>0.8</v>
      </c>
      <c r="E332" s="121">
        <v>0.19999999999999996</v>
      </c>
      <c r="F332" s="227">
        <f>D332*$F$322</f>
        <v>2.1300000000000003</v>
      </c>
      <c r="G332" s="228">
        <f>G324</f>
        <v>5.1E-5</v>
      </c>
      <c r="H332" s="228">
        <f>H324</f>
        <v>2.2000000000000001E-4</v>
      </c>
      <c r="I332" s="221">
        <f t="shared" si="55"/>
        <v>2196.8350000000005</v>
      </c>
      <c r="J332" s="229" t="s">
        <v>170</v>
      </c>
      <c r="K332" s="223"/>
      <c r="L332" s="224">
        <f>(0.8*$I$324)+(0.2*$I$320)</f>
        <v>2098.268</v>
      </c>
      <c r="M332" s="230" t="s">
        <v>171</v>
      </c>
      <c r="N332" s="224">
        <f>(0.8*$I$324)+(0.2*$I$320)</f>
        <v>2098.268</v>
      </c>
      <c r="O332" s="233" t="s">
        <v>172</v>
      </c>
      <c r="P332" s="120"/>
      <c r="Q332" s="82"/>
    </row>
    <row r="333" spans="2:17" ht="13.5" hidden="1" customHeight="1" outlineLevel="1" x14ac:dyDescent="0.2">
      <c r="B333" s="39" t="s">
        <v>95</v>
      </c>
      <c r="C333" s="82" t="s">
        <v>115</v>
      </c>
      <c r="D333" s="121">
        <v>0.5</v>
      </c>
      <c r="E333" s="121">
        <v>0.5</v>
      </c>
      <c r="F333" s="227">
        <f>D333*$F$322</f>
        <v>1.33125</v>
      </c>
      <c r="G333" s="228">
        <f>G324</f>
        <v>5.1E-5</v>
      </c>
      <c r="H333" s="228">
        <f>H324</f>
        <v>2.2000000000000001E-4</v>
      </c>
      <c r="I333" s="221">
        <f t="shared" si="55"/>
        <v>1398.085</v>
      </c>
      <c r="J333" s="229" t="s">
        <v>170</v>
      </c>
      <c r="K333" s="223"/>
      <c r="L333" s="224">
        <f>(0.5*$I$324)+(0.5*$I$320)</f>
        <v>1311.4175</v>
      </c>
      <c r="M333" s="230" t="s">
        <v>171</v>
      </c>
      <c r="N333" s="224">
        <f>(0.5*$I$324)+(0.5*$I$320)</f>
        <v>1311.4175</v>
      </c>
      <c r="O333" s="233" t="s">
        <v>172</v>
      </c>
      <c r="P333" s="120"/>
      <c r="Q333" s="82"/>
    </row>
    <row r="334" spans="2:17" ht="13.5" hidden="1" customHeight="1" outlineLevel="1" x14ac:dyDescent="0.2">
      <c r="B334" s="59" t="s">
        <v>96</v>
      </c>
      <c r="C334" s="59" t="s">
        <v>52</v>
      </c>
      <c r="D334" s="125">
        <v>0.95</v>
      </c>
      <c r="E334" s="125">
        <v>0.05</v>
      </c>
      <c r="F334" s="235">
        <v>2.1749999999999998</v>
      </c>
      <c r="G334" s="236">
        <v>2.4000000000000001E-4</v>
      </c>
      <c r="H334" s="236">
        <v>5.8E-4</v>
      </c>
      <c r="I334" s="221">
        <f t="shared" si="55"/>
        <v>2353.8399999999997</v>
      </c>
      <c r="J334" s="237" t="s">
        <v>170</v>
      </c>
    </row>
    <row r="335" spans="2:17" ht="13.5" hidden="1" customHeight="1" outlineLevel="1" x14ac:dyDescent="0.2">
      <c r="B335" s="59" t="s">
        <v>96</v>
      </c>
      <c r="C335" s="59" t="s">
        <v>51</v>
      </c>
      <c r="D335" s="125">
        <v>0.96</v>
      </c>
      <c r="E335" s="125">
        <v>0.04</v>
      </c>
      <c r="F335" s="235">
        <v>2.556</v>
      </c>
      <c r="G335" s="236">
        <v>6.7999999999999999E-5</v>
      </c>
      <c r="H335" s="236">
        <v>2.2000000000000001E-4</v>
      </c>
      <c r="I335" s="221">
        <f t="shared" si="55"/>
        <v>2623.26</v>
      </c>
      <c r="J335" s="237" t="s">
        <v>170</v>
      </c>
    </row>
    <row r="336" spans="2:17" ht="13.5" hidden="1" customHeight="1" outlineLevel="1" x14ac:dyDescent="0.2">
      <c r="B336" s="59" t="s">
        <v>96</v>
      </c>
      <c r="C336" s="59" t="s">
        <v>71</v>
      </c>
      <c r="D336" s="125">
        <v>1</v>
      </c>
      <c r="E336" s="125">
        <v>0</v>
      </c>
      <c r="F336" s="238">
        <f>$F$319</f>
        <v>0</v>
      </c>
      <c r="G336" s="239">
        <f>G334</f>
        <v>2.4000000000000001E-4</v>
      </c>
      <c r="H336" s="239">
        <f>H334</f>
        <v>5.8E-4</v>
      </c>
      <c r="I336" s="221">
        <f t="shared" si="55"/>
        <v>178.84</v>
      </c>
      <c r="J336" s="237" t="s">
        <v>170</v>
      </c>
    </row>
    <row r="337" spans="2:21" ht="13.5" hidden="1" customHeight="1" outlineLevel="1" x14ac:dyDescent="0.2">
      <c r="B337" s="59" t="s">
        <v>96</v>
      </c>
      <c r="C337" s="59" t="s">
        <v>61</v>
      </c>
      <c r="D337" s="125">
        <v>1</v>
      </c>
      <c r="E337" s="125">
        <v>0</v>
      </c>
      <c r="F337" s="238">
        <f>$F$320</f>
        <v>0</v>
      </c>
      <c r="G337" s="239">
        <f>G335</f>
        <v>6.7999999999999999E-5</v>
      </c>
      <c r="H337" s="239">
        <f>H335</f>
        <v>2.2000000000000001E-4</v>
      </c>
      <c r="I337" s="221">
        <f t="shared" si="55"/>
        <v>67.260000000000005</v>
      </c>
      <c r="J337" s="237" t="s">
        <v>170</v>
      </c>
    </row>
    <row r="338" spans="2:21" ht="13.5" hidden="1" customHeight="1" outlineLevel="1" x14ac:dyDescent="0.2">
      <c r="B338" s="59" t="s">
        <v>96</v>
      </c>
      <c r="C338" s="59" t="s">
        <v>105</v>
      </c>
      <c r="D338" s="125">
        <v>1</v>
      </c>
      <c r="E338" s="125">
        <v>0</v>
      </c>
      <c r="F338" s="235">
        <v>1.5069999999999999</v>
      </c>
      <c r="G338" s="236">
        <v>6.4000000000000005E-4</v>
      </c>
      <c r="H338" s="236">
        <v>2.8E-5</v>
      </c>
      <c r="I338" s="221">
        <f t="shared" si="55"/>
        <v>1531.3439999999998</v>
      </c>
      <c r="J338" s="237" t="s">
        <v>170</v>
      </c>
    </row>
    <row r="339" spans="2:21" ht="13.5" hidden="1" customHeight="1" outlineLevel="1" x14ac:dyDescent="0.2">
      <c r="B339" s="59" t="s">
        <v>96</v>
      </c>
      <c r="C339" s="59" t="s">
        <v>106</v>
      </c>
      <c r="D339" s="125">
        <v>1</v>
      </c>
      <c r="E339" s="125">
        <v>0</v>
      </c>
      <c r="F339" s="235">
        <v>2.7229999999999999</v>
      </c>
      <c r="G339" s="236">
        <v>1.2999999999999999E-2</v>
      </c>
      <c r="H339" s="236">
        <v>8.6000000000000003E-5</v>
      </c>
      <c r="I339" s="232">
        <f xml:space="preserve"> SUMPRODUCT(F339:H339,$F$317:$H$317)*1000/$F$92</f>
        <v>2027.4591029023748</v>
      </c>
      <c r="J339" s="237" t="s">
        <v>170</v>
      </c>
      <c r="K339" s="223" t="s">
        <v>81</v>
      </c>
    </row>
    <row r="340" spans="2:21" ht="13.5" hidden="1" customHeight="1" outlineLevel="1" x14ac:dyDescent="0.2">
      <c r="B340" s="59" t="s">
        <v>96</v>
      </c>
      <c r="C340" s="59" t="s">
        <v>70</v>
      </c>
      <c r="D340" s="125">
        <v>0.9</v>
      </c>
      <c r="E340" s="125">
        <v>9.9999999999999978E-2</v>
      </c>
      <c r="F340" s="238">
        <f>D340*$F$321</f>
        <v>2.0605263157894735</v>
      </c>
      <c r="G340" s="239">
        <f>G334</f>
        <v>2.4000000000000001E-4</v>
      </c>
      <c r="H340" s="239">
        <f>H334</f>
        <v>5.8E-4</v>
      </c>
      <c r="I340" s="221">
        <f t="shared" ref="I340:I348" si="56" xml:space="preserve"> SUMPRODUCT(F340:H340,$F$317:$H$317)*1000</f>
        <v>2239.366315789473</v>
      </c>
      <c r="J340" s="237" t="s">
        <v>170</v>
      </c>
    </row>
    <row r="341" spans="2:21" ht="13.5" hidden="1" customHeight="1" outlineLevel="1" x14ac:dyDescent="0.2">
      <c r="B341" s="59" t="s">
        <v>96</v>
      </c>
      <c r="C341" s="59" t="s">
        <v>65</v>
      </c>
      <c r="D341" s="125">
        <v>0.95</v>
      </c>
      <c r="E341" s="125">
        <v>5.0000000000000044E-2</v>
      </c>
      <c r="F341" s="238">
        <f>D341*$F$322</f>
        <v>2.5293749999999999</v>
      </c>
      <c r="G341" s="239">
        <f>G335</f>
        <v>6.7999999999999999E-5</v>
      </c>
      <c r="H341" s="239">
        <f>H335</f>
        <v>2.2000000000000001E-4</v>
      </c>
      <c r="I341" s="221">
        <f t="shared" si="56"/>
        <v>2596.6350000000002</v>
      </c>
      <c r="J341" s="237" t="s">
        <v>170</v>
      </c>
      <c r="K341" s="240"/>
    </row>
    <row r="342" spans="2:21" ht="13.5" hidden="1" customHeight="1" outlineLevel="1" x14ac:dyDescent="0.2">
      <c r="B342" s="59" t="s">
        <v>96</v>
      </c>
      <c r="C342" s="59" t="s">
        <v>114</v>
      </c>
      <c r="D342" s="125">
        <v>0.9</v>
      </c>
      <c r="E342" s="125">
        <v>9.9999999999999978E-2</v>
      </c>
      <c r="F342" s="238">
        <f>D342*$F$322</f>
        <v>2.3962500000000002</v>
      </c>
      <c r="G342" s="239">
        <f>G335</f>
        <v>6.7999999999999999E-5</v>
      </c>
      <c r="H342" s="239">
        <f>H335</f>
        <v>2.2000000000000001E-4</v>
      </c>
      <c r="I342" s="221">
        <f t="shared" si="56"/>
        <v>2463.5100000000002</v>
      </c>
      <c r="J342" s="237" t="s">
        <v>170</v>
      </c>
      <c r="K342" s="240"/>
    </row>
    <row r="343" spans="2:21" ht="13.5" hidden="1" customHeight="1" outlineLevel="1" x14ac:dyDescent="0.2">
      <c r="B343" s="59" t="s">
        <v>96</v>
      </c>
      <c r="C343" s="59" t="s">
        <v>63</v>
      </c>
      <c r="D343" s="125">
        <v>0.8</v>
      </c>
      <c r="E343" s="125">
        <v>0.19999999999999996</v>
      </c>
      <c r="F343" s="238">
        <f>D343*$F$322</f>
        <v>2.1300000000000003</v>
      </c>
      <c r="G343" s="239">
        <f>G335</f>
        <v>6.7999999999999999E-5</v>
      </c>
      <c r="H343" s="239">
        <f>H335</f>
        <v>2.2000000000000001E-4</v>
      </c>
      <c r="I343" s="221">
        <f t="shared" si="56"/>
        <v>2197.2600000000002</v>
      </c>
      <c r="J343" s="237" t="s">
        <v>170</v>
      </c>
      <c r="K343" s="240"/>
    </row>
    <row r="344" spans="2:21" ht="13.5" hidden="1" customHeight="1" outlineLevel="1" x14ac:dyDescent="0.2">
      <c r="B344" s="59" t="s">
        <v>96</v>
      </c>
      <c r="C344" s="59" t="s">
        <v>115</v>
      </c>
      <c r="D344" s="125">
        <v>0.5</v>
      </c>
      <c r="E344" s="125">
        <v>0.5</v>
      </c>
      <c r="F344" s="238">
        <f>D344*$F$322</f>
        <v>1.33125</v>
      </c>
      <c r="G344" s="239">
        <f>G335</f>
        <v>6.7999999999999999E-5</v>
      </c>
      <c r="H344" s="239">
        <f>H335</f>
        <v>2.2000000000000001E-4</v>
      </c>
      <c r="I344" s="221">
        <f t="shared" si="56"/>
        <v>1398.5100000000002</v>
      </c>
      <c r="J344" s="237" t="s">
        <v>170</v>
      </c>
      <c r="K344" s="240"/>
    </row>
    <row r="345" spans="2:21" ht="13.5" hidden="1" customHeight="1" outlineLevel="1" x14ac:dyDescent="0.2">
      <c r="B345" s="39" t="s">
        <v>97</v>
      </c>
      <c r="C345" s="94" t="s">
        <v>52</v>
      </c>
      <c r="D345" s="118">
        <v>0.95</v>
      </c>
      <c r="E345" s="118">
        <v>0.05</v>
      </c>
      <c r="F345" s="219">
        <v>2.1749999999999998</v>
      </c>
      <c r="G345" s="220">
        <v>6.7999999999999999E-5</v>
      </c>
      <c r="H345" s="220">
        <v>2.0000000000000001E-4</v>
      </c>
      <c r="I345" s="221">
        <f t="shared" si="56"/>
        <v>2236.3000000000002</v>
      </c>
      <c r="J345" s="229" t="s">
        <v>170</v>
      </c>
    </row>
    <row r="346" spans="2:21" ht="13.5" hidden="1" customHeight="1" outlineLevel="1" x14ac:dyDescent="0.2">
      <c r="B346" s="39" t="s">
        <v>97</v>
      </c>
      <c r="C346" s="82" t="s">
        <v>51</v>
      </c>
      <c r="D346" s="121">
        <v>0.96</v>
      </c>
      <c r="E346" s="121">
        <v>0.04</v>
      </c>
      <c r="F346" s="227">
        <v>2.556</v>
      </c>
      <c r="G346" s="228">
        <v>1.1E-4</v>
      </c>
      <c r="H346" s="228">
        <v>1.5100000000000001E-4</v>
      </c>
      <c r="I346" s="221">
        <f t="shared" si="56"/>
        <v>2603.748</v>
      </c>
      <c r="J346" s="229" t="s">
        <v>170</v>
      </c>
    </row>
    <row r="347" spans="2:21" ht="13.5" hidden="1" customHeight="1" outlineLevel="1" x14ac:dyDescent="0.2">
      <c r="B347" s="39" t="s">
        <v>97</v>
      </c>
      <c r="C347" s="82" t="s">
        <v>71</v>
      </c>
      <c r="D347" s="121">
        <v>1</v>
      </c>
      <c r="E347" s="121">
        <v>0</v>
      </c>
      <c r="F347" s="227">
        <f>$F$319</f>
        <v>0</v>
      </c>
      <c r="G347" s="228">
        <f>G345</f>
        <v>6.7999999999999999E-5</v>
      </c>
      <c r="H347" s="228">
        <f>H345</f>
        <v>2.0000000000000001E-4</v>
      </c>
      <c r="I347" s="221">
        <f t="shared" si="56"/>
        <v>61.3</v>
      </c>
      <c r="J347" s="229" t="s">
        <v>170</v>
      </c>
    </row>
    <row r="348" spans="2:21" ht="13.5" hidden="1" customHeight="1" outlineLevel="1" x14ac:dyDescent="0.2">
      <c r="B348" s="39" t="s">
        <v>97</v>
      </c>
      <c r="C348" s="82" t="s">
        <v>61</v>
      </c>
      <c r="D348" s="121">
        <v>1</v>
      </c>
      <c r="E348" s="121">
        <v>0</v>
      </c>
      <c r="F348" s="227">
        <f>$F$320</f>
        <v>0</v>
      </c>
      <c r="G348" s="228">
        <f>G346</f>
        <v>1.1E-4</v>
      </c>
      <c r="H348" s="228">
        <f>H346</f>
        <v>1.5100000000000001E-4</v>
      </c>
      <c r="I348" s="221">
        <f t="shared" si="56"/>
        <v>47.748000000000005</v>
      </c>
      <c r="J348" s="229" t="s">
        <v>170</v>
      </c>
    </row>
    <row r="349" spans="2:21" s="82" customFormat="1" ht="13.5" hidden="1" customHeight="1" outlineLevel="1" x14ac:dyDescent="0.2">
      <c r="B349" s="39" t="s">
        <v>97</v>
      </c>
      <c r="C349" s="94" t="s">
        <v>106</v>
      </c>
      <c r="D349" s="118">
        <v>1</v>
      </c>
      <c r="E349" s="118">
        <v>0</v>
      </c>
      <c r="F349" s="219">
        <v>2.7229999999999999</v>
      </c>
      <c r="G349" s="220">
        <v>6.4000000000000005E-4</v>
      </c>
      <c r="H349" s="220">
        <v>2.8E-5</v>
      </c>
      <c r="I349" s="232">
        <f>SUMPRODUCT(F349:H349,$F$317:$H$317)*1000/$F$93</f>
        <v>2010.246804276087</v>
      </c>
      <c r="J349" s="222" t="s">
        <v>170</v>
      </c>
      <c r="K349" s="223" t="s">
        <v>85</v>
      </c>
      <c r="L349" s="39"/>
      <c r="M349" s="39"/>
      <c r="N349" s="39"/>
      <c r="O349" s="39"/>
      <c r="P349" s="39"/>
      <c r="Q349" s="39"/>
      <c r="R349" s="39"/>
      <c r="S349" s="39"/>
      <c r="T349" s="39"/>
      <c r="U349" s="39"/>
    </row>
    <row r="350" spans="2:21" ht="13.5" hidden="1" customHeight="1" outlineLevel="1" x14ac:dyDescent="0.2">
      <c r="B350" s="39" t="s">
        <v>97</v>
      </c>
      <c r="C350" s="82" t="s">
        <v>70</v>
      </c>
      <c r="D350" s="121">
        <v>0.9</v>
      </c>
      <c r="E350" s="121">
        <v>9.9999999999999978E-2</v>
      </c>
      <c r="F350" s="227">
        <f>D350*$F$321</f>
        <v>2.0605263157894735</v>
      </c>
      <c r="G350" s="228">
        <f>G344</f>
        <v>6.7999999999999999E-5</v>
      </c>
      <c r="H350" s="228">
        <f>H345</f>
        <v>2.0000000000000001E-4</v>
      </c>
      <c r="I350" s="221">
        <f t="shared" ref="I350:I361" si="57" xml:space="preserve"> SUMPRODUCT(F350:H350,$F$317:$H$317)*1000</f>
        <v>2121.8263157894735</v>
      </c>
      <c r="J350" s="229" t="s">
        <v>170</v>
      </c>
    </row>
    <row r="351" spans="2:21" ht="13.5" hidden="1" customHeight="1" outlineLevel="1" x14ac:dyDescent="0.2">
      <c r="B351" s="39" t="s">
        <v>97</v>
      </c>
      <c r="C351" s="82" t="s">
        <v>65</v>
      </c>
      <c r="D351" s="121">
        <v>0.95</v>
      </c>
      <c r="E351" s="121">
        <v>5.0000000000000044E-2</v>
      </c>
      <c r="F351" s="227">
        <f>D351*$F$322</f>
        <v>2.5293749999999999</v>
      </c>
      <c r="G351" s="228">
        <f>G346</f>
        <v>1.1E-4</v>
      </c>
      <c r="H351" s="228">
        <f>H346</f>
        <v>1.5100000000000001E-4</v>
      </c>
      <c r="I351" s="221">
        <f t="shared" si="57"/>
        <v>2577.123</v>
      </c>
      <c r="J351" s="229" t="s">
        <v>170</v>
      </c>
    </row>
    <row r="352" spans="2:21" ht="13.5" hidden="1" customHeight="1" outlineLevel="1" x14ac:dyDescent="0.2">
      <c r="B352" s="39" t="s">
        <v>97</v>
      </c>
      <c r="C352" s="82" t="s">
        <v>114</v>
      </c>
      <c r="D352" s="121">
        <v>0.9</v>
      </c>
      <c r="E352" s="121">
        <v>9.9999999999999978E-2</v>
      </c>
      <c r="F352" s="227">
        <f>D352*$F$322</f>
        <v>2.3962500000000002</v>
      </c>
      <c r="G352" s="228">
        <f t="shared" ref="G352:H354" si="58">+G351</f>
        <v>1.1E-4</v>
      </c>
      <c r="H352" s="228">
        <f t="shared" si="58"/>
        <v>1.5100000000000001E-4</v>
      </c>
      <c r="I352" s="221">
        <f t="shared" si="57"/>
        <v>2443.998</v>
      </c>
      <c r="J352" s="229" t="s">
        <v>170</v>
      </c>
    </row>
    <row r="353" spans="2:11" ht="13.5" hidden="1" customHeight="1" outlineLevel="1" x14ac:dyDescent="0.2">
      <c r="B353" s="39" t="s">
        <v>97</v>
      </c>
      <c r="C353" s="82" t="s">
        <v>63</v>
      </c>
      <c r="D353" s="121">
        <v>0.8</v>
      </c>
      <c r="E353" s="121">
        <v>0.19999999999999996</v>
      </c>
      <c r="F353" s="227">
        <f>D353*$F$322</f>
        <v>2.1300000000000003</v>
      </c>
      <c r="G353" s="228">
        <f t="shared" si="58"/>
        <v>1.1E-4</v>
      </c>
      <c r="H353" s="228">
        <f t="shared" si="58"/>
        <v>1.5100000000000001E-4</v>
      </c>
      <c r="I353" s="221">
        <f t="shared" si="57"/>
        <v>2177.748</v>
      </c>
      <c r="J353" s="229" t="s">
        <v>170</v>
      </c>
    </row>
    <row r="354" spans="2:11" ht="13.5" hidden="1" customHeight="1" outlineLevel="1" x14ac:dyDescent="0.2">
      <c r="B354" s="39" t="s">
        <v>97</v>
      </c>
      <c r="C354" s="82" t="s">
        <v>115</v>
      </c>
      <c r="D354" s="121">
        <v>0.5</v>
      </c>
      <c r="E354" s="121">
        <v>0.5</v>
      </c>
      <c r="F354" s="227">
        <f>D354*$F$322</f>
        <v>1.33125</v>
      </c>
      <c r="G354" s="228">
        <f t="shared" si="58"/>
        <v>1.1E-4</v>
      </c>
      <c r="H354" s="228">
        <f t="shared" si="58"/>
        <v>1.5100000000000001E-4</v>
      </c>
      <c r="I354" s="221">
        <f t="shared" si="57"/>
        <v>1378.9980000000003</v>
      </c>
      <c r="J354" s="229" t="s">
        <v>170</v>
      </c>
    </row>
    <row r="355" spans="2:11" ht="13.5" hidden="1" customHeight="1" outlineLevel="1" x14ac:dyDescent="0.2">
      <c r="B355" s="59" t="s">
        <v>98</v>
      </c>
      <c r="C355" s="59" t="s">
        <v>52</v>
      </c>
      <c r="D355" s="125">
        <v>0.95</v>
      </c>
      <c r="E355" s="125">
        <v>0.05</v>
      </c>
      <c r="F355" s="235">
        <v>2.1749999999999998</v>
      </c>
      <c r="G355" s="236">
        <v>7.6999999999999996E-4</v>
      </c>
      <c r="H355" s="236">
        <v>4.1E-5</v>
      </c>
      <c r="I355" s="221">
        <f t="shared" si="57"/>
        <v>2206.4679999999998</v>
      </c>
      <c r="J355" s="237" t="s">
        <v>170</v>
      </c>
    </row>
    <row r="356" spans="2:11" ht="13.5" hidden="1" customHeight="1" outlineLevel="1" x14ac:dyDescent="0.2">
      <c r="B356" s="59" t="s">
        <v>98</v>
      </c>
      <c r="C356" s="59" t="s">
        <v>70</v>
      </c>
      <c r="D356" s="125">
        <v>0.9</v>
      </c>
      <c r="E356" s="125">
        <v>9.9999999999999978E-2</v>
      </c>
      <c r="F356" s="238">
        <f>D356*$F$321</f>
        <v>2.0605263157894735</v>
      </c>
      <c r="G356" s="236">
        <f>G355</f>
        <v>7.6999999999999996E-4</v>
      </c>
      <c r="H356" s="236">
        <f>H355</f>
        <v>4.1E-5</v>
      </c>
      <c r="I356" s="221">
        <f t="shared" si="57"/>
        <v>2091.9943157894731</v>
      </c>
      <c r="J356" s="237" t="s">
        <v>170</v>
      </c>
    </row>
    <row r="357" spans="2:11" ht="13.5" hidden="1" customHeight="1" outlineLevel="1" x14ac:dyDescent="0.2">
      <c r="B357" s="14" t="s">
        <v>99</v>
      </c>
      <c r="C357" s="94" t="s">
        <v>52</v>
      </c>
      <c r="D357" s="121">
        <v>0.95</v>
      </c>
      <c r="E357" s="121">
        <v>0.05</v>
      </c>
      <c r="F357" s="227">
        <v>2.1749999999999998</v>
      </c>
      <c r="G357" s="228">
        <v>2.7000000000000001E-3</v>
      </c>
      <c r="H357" s="228">
        <v>5.0000000000000002E-5</v>
      </c>
      <c r="I357" s="221">
        <f t="shared" si="57"/>
        <v>2257.3999999999996</v>
      </c>
      <c r="J357" s="229" t="s">
        <v>170</v>
      </c>
    </row>
    <row r="358" spans="2:11" ht="13.5" hidden="1" customHeight="1" outlineLevel="1" x14ac:dyDescent="0.2">
      <c r="B358" s="14" t="s">
        <v>99</v>
      </c>
      <c r="C358" s="82" t="s">
        <v>51</v>
      </c>
      <c r="D358" s="118">
        <v>0.96</v>
      </c>
      <c r="E358" s="121">
        <v>0.04</v>
      </c>
      <c r="F358" s="227">
        <v>2.556</v>
      </c>
      <c r="G358" s="228">
        <v>1.4999999999999999E-4</v>
      </c>
      <c r="H358" s="228">
        <v>1.1000000000000001E-3</v>
      </c>
      <c r="I358" s="221">
        <f t="shared" si="57"/>
        <v>2887.55</v>
      </c>
      <c r="J358" s="229" t="s">
        <v>170</v>
      </c>
    </row>
    <row r="359" spans="2:11" ht="13.5" hidden="1" customHeight="1" outlineLevel="1" x14ac:dyDescent="0.2">
      <c r="B359" s="14" t="s">
        <v>99</v>
      </c>
      <c r="C359" s="82" t="s">
        <v>71</v>
      </c>
      <c r="D359" s="121">
        <v>1</v>
      </c>
      <c r="E359" s="121">
        <v>0</v>
      </c>
      <c r="F359" s="227">
        <f>$F$319</f>
        <v>0</v>
      </c>
      <c r="G359" s="228">
        <f>G357</f>
        <v>2.7000000000000001E-3</v>
      </c>
      <c r="H359" s="228">
        <f>H357</f>
        <v>5.0000000000000002E-5</v>
      </c>
      <c r="I359" s="221">
        <f t="shared" si="57"/>
        <v>82.4</v>
      </c>
      <c r="J359" s="229" t="s">
        <v>170</v>
      </c>
    </row>
    <row r="360" spans="2:11" ht="13.5" hidden="1" customHeight="1" outlineLevel="1" x14ac:dyDescent="0.2">
      <c r="B360" s="14" t="s">
        <v>99</v>
      </c>
      <c r="C360" s="82" t="s">
        <v>61</v>
      </c>
      <c r="D360" s="121">
        <v>1</v>
      </c>
      <c r="E360" s="121">
        <v>0</v>
      </c>
      <c r="F360" s="227">
        <f>$F$320</f>
        <v>0</v>
      </c>
      <c r="G360" s="228">
        <f>G358</f>
        <v>1.4999999999999999E-4</v>
      </c>
      <c r="H360" s="228">
        <f>H358</f>
        <v>1.1000000000000001E-3</v>
      </c>
      <c r="I360" s="221">
        <f t="shared" si="57"/>
        <v>331.55</v>
      </c>
      <c r="J360" s="229" t="s">
        <v>170</v>
      </c>
    </row>
    <row r="361" spans="2:11" s="82" customFormat="1" ht="13.5" hidden="1" customHeight="1" outlineLevel="1" x14ac:dyDescent="0.2">
      <c r="B361" s="14" t="s">
        <v>99</v>
      </c>
      <c r="C361" s="94" t="s">
        <v>105</v>
      </c>
      <c r="D361" s="118">
        <v>1</v>
      </c>
      <c r="E361" s="118">
        <v>0</v>
      </c>
      <c r="F361" s="219">
        <v>1.5069999999999999</v>
      </c>
      <c r="G361" s="220">
        <v>6.4000000000000005E-4</v>
      </c>
      <c r="H361" s="220">
        <v>2.8E-5</v>
      </c>
      <c r="I361" s="221">
        <f t="shared" si="57"/>
        <v>1531.3439999999998</v>
      </c>
      <c r="J361" s="222" t="s">
        <v>170</v>
      </c>
    </row>
    <row r="362" spans="2:11" s="82" customFormat="1" ht="13.5" hidden="1" customHeight="1" outlineLevel="1" x14ac:dyDescent="0.2">
      <c r="B362" s="14" t="s">
        <v>99</v>
      </c>
      <c r="C362" s="94" t="s">
        <v>106</v>
      </c>
      <c r="D362" s="118">
        <v>1</v>
      </c>
      <c r="E362" s="118">
        <v>0</v>
      </c>
      <c r="F362" s="219">
        <v>2.7229999999999999</v>
      </c>
      <c r="G362" s="220">
        <v>1.2999999999999999E-2</v>
      </c>
      <c r="H362" s="220">
        <v>8.6000000000000003E-5</v>
      </c>
      <c r="I362" s="232">
        <f>SUMPRODUCT(F362:H362,$F$317:$H$317)*1000/$F$93</f>
        <v>2248.9906122180191</v>
      </c>
      <c r="J362" s="222" t="s">
        <v>170</v>
      </c>
      <c r="K362" s="223" t="s">
        <v>85</v>
      </c>
    </row>
    <row r="363" spans="2:11" ht="13.5" hidden="1" customHeight="1" outlineLevel="1" x14ac:dyDescent="0.2">
      <c r="B363" s="14" t="s">
        <v>99</v>
      </c>
      <c r="C363" s="82" t="s">
        <v>70</v>
      </c>
      <c r="D363" s="121">
        <v>0.9</v>
      </c>
      <c r="E363" s="121">
        <v>9.9999999999999978E-2</v>
      </c>
      <c r="F363" s="227">
        <f>D363*$F$321</f>
        <v>2.0605263157894735</v>
      </c>
      <c r="G363" s="228">
        <f>G357</f>
        <v>2.7000000000000001E-3</v>
      </c>
      <c r="H363" s="228">
        <f>H357</f>
        <v>5.0000000000000002E-5</v>
      </c>
      <c r="I363" s="221">
        <f t="shared" ref="I363:I379" si="59" xml:space="preserve"> SUMPRODUCT(F363:H363,$F$317:$H$317)*1000</f>
        <v>2142.9263157894734</v>
      </c>
      <c r="J363" s="229" t="s">
        <v>170</v>
      </c>
    </row>
    <row r="364" spans="2:11" ht="13.5" hidden="1" customHeight="1" outlineLevel="1" x14ac:dyDescent="0.2">
      <c r="B364" s="14" t="s">
        <v>99</v>
      </c>
      <c r="C364" s="82" t="s">
        <v>65</v>
      </c>
      <c r="D364" s="121">
        <v>0.95</v>
      </c>
      <c r="E364" s="121">
        <v>5.0000000000000044E-2</v>
      </c>
      <c r="F364" s="227">
        <f>D364*$F$322</f>
        <v>2.5293749999999999</v>
      </c>
      <c r="G364" s="228">
        <f>G358</f>
        <v>1.4999999999999999E-4</v>
      </c>
      <c r="H364" s="228">
        <f>H358</f>
        <v>1.1000000000000001E-3</v>
      </c>
      <c r="I364" s="221">
        <f t="shared" si="59"/>
        <v>2860.9249999999997</v>
      </c>
      <c r="J364" s="229" t="s">
        <v>170</v>
      </c>
    </row>
    <row r="365" spans="2:11" ht="13.5" hidden="1" customHeight="1" outlineLevel="1" x14ac:dyDescent="0.2">
      <c r="B365" s="14" t="s">
        <v>99</v>
      </c>
      <c r="C365" s="82" t="s">
        <v>114</v>
      </c>
      <c r="D365" s="121">
        <v>0.9</v>
      </c>
      <c r="E365" s="121">
        <v>9.9999999999999978E-2</v>
      </c>
      <c r="F365" s="227">
        <f>D365*$F$322</f>
        <v>2.3962500000000002</v>
      </c>
      <c r="G365" s="228">
        <f>G358</f>
        <v>1.4999999999999999E-4</v>
      </c>
      <c r="H365" s="228">
        <f>H358</f>
        <v>1.1000000000000001E-3</v>
      </c>
      <c r="I365" s="221">
        <f t="shared" si="59"/>
        <v>2727.8</v>
      </c>
      <c r="J365" s="229" t="s">
        <v>170</v>
      </c>
    </row>
    <row r="366" spans="2:11" ht="13.5" hidden="1" customHeight="1" outlineLevel="1" x14ac:dyDescent="0.2">
      <c r="B366" s="14" t="s">
        <v>99</v>
      </c>
      <c r="C366" s="82" t="s">
        <v>63</v>
      </c>
      <c r="D366" s="121">
        <v>0.8</v>
      </c>
      <c r="E366" s="121">
        <v>0.19999999999999996</v>
      </c>
      <c r="F366" s="227">
        <f>D366*$F$322</f>
        <v>2.1300000000000003</v>
      </c>
      <c r="G366" s="228">
        <f>G358</f>
        <v>1.4999999999999999E-4</v>
      </c>
      <c r="H366" s="228">
        <f>H358</f>
        <v>1.1000000000000001E-3</v>
      </c>
      <c r="I366" s="221">
        <f t="shared" si="59"/>
        <v>2461.5500000000002</v>
      </c>
      <c r="J366" s="229" t="s">
        <v>170</v>
      </c>
    </row>
    <row r="367" spans="2:11" ht="13.5" hidden="1" customHeight="1" outlineLevel="1" x14ac:dyDescent="0.2">
      <c r="B367" s="14" t="s">
        <v>99</v>
      </c>
      <c r="C367" s="82" t="s">
        <v>115</v>
      </c>
      <c r="D367" s="121">
        <v>0.5</v>
      </c>
      <c r="E367" s="121">
        <v>0.5</v>
      </c>
      <c r="F367" s="227">
        <f>D367*$F$322</f>
        <v>1.33125</v>
      </c>
      <c r="G367" s="228">
        <f>G358</f>
        <v>1.4999999999999999E-4</v>
      </c>
      <c r="H367" s="228">
        <f>H358</f>
        <v>1.1000000000000001E-3</v>
      </c>
      <c r="I367" s="221">
        <f t="shared" si="59"/>
        <v>1662.8</v>
      </c>
      <c r="J367" s="229" t="s">
        <v>170</v>
      </c>
    </row>
    <row r="368" spans="2:11" ht="13.5" hidden="1" customHeight="1" outlineLevel="1" x14ac:dyDescent="0.2">
      <c r="B368" s="59" t="s">
        <v>100</v>
      </c>
      <c r="C368" s="59" t="s">
        <v>52</v>
      </c>
      <c r="D368" s="125">
        <v>0.95</v>
      </c>
      <c r="E368" s="125">
        <v>0.05</v>
      </c>
      <c r="F368" s="235">
        <v>2.1749999999999998</v>
      </c>
      <c r="G368" s="236">
        <v>1.2999999999999999E-3</v>
      </c>
      <c r="H368" s="236">
        <v>6.6000000000000005E-5</v>
      </c>
      <c r="I368" s="221">
        <f t="shared" si="59"/>
        <v>2227.1679999999997</v>
      </c>
      <c r="J368" s="237" t="s">
        <v>170</v>
      </c>
    </row>
    <row r="369" spans="2:10" ht="13.5" hidden="1" customHeight="1" outlineLevel="1" x14ac:dyDescent="0.2">
      <c r="B369" s="59" t="s">
        <v>100</v>
      </c>
      <c r="C369" s="59" t="s">
        <v>51</v>
      </c>
      <c r="D369" s="125">
        <v>0.96</v>
      </c>
      <c r="E369" s="125">
        <v>0.04</v>
      </c>
      <c r="F369" s="235">
        <v>2.556</v>
      </c>
      <c r="G369" s="236">
        <v>1.4999999999999999E-4</v>
      </c>
      <c r="H369" s="236">
        <v>1.1000000000000001E-3</v>
      </c>
      <c r="I369" s="221">
        <f t="shared" si="59"/>
        <v>2887.55</v>
      </c>
      <c r="J369" s="237" t="s">
        <v>170</v>
      </c>
    </row>
    <row r="370" spans="2:10" ht="13.5" hidden="1" customHeight="1" outlineLevel="1" x14ac:dyDescent="0.2">
      <c r="B370" s="59" t="s">
        <v>100</v>
      </c>
      <c r="C370" s="59" t="s">
        <v>71</v>
      </c>
      <c r="D370" s="125">
        <v>1</v>
      </c>
      <c r="E370" s="125">
        <v>0</v>
      </c>
      <c r="F370" s="238">
        <f>$F$319</f>
        <v>0</v>
      </c>
      <c r="G370" s="239">
        <f>G368</f>
        <v>1.2999999999999999E-3</v>
      </c>
      <c r="H370" s="239">
        <f>H368</f>
        <v>6.6000000000000005E-5</v>
      </c>
      <c r="I370" s="221">
        <f t="shared" si="59"/>
        <v>52.168000000000006</v>
      </c>
      <c r="J370" s="237" t="s">
        <v>170</v>
      </c>
    </row>
    <row r="371" spans="2:10" ht="13.5" hidden="1" customHeight="1" outlineLevel="1" x14ac:dyDescent="0.2">
      <c r="B371" s="59" t="s">
        <v>100</v>
      </c>
      <c r="C371" s="59" t="s">
        <v>61</v>
      </c>
      <c r="D371" s="125">
        <v>1</v>
      </c>
      <c r="E371" s="125">
        <v>0</v>
      </c>
      <c r="F371" s="238">
        <f>$F$320</f>
        <v>0</v>
      </c>
      <c r="G371" s="239">
        <f>G369</f>
        <v>1.4999999999999999E-4</v>
      </c>
      <c r="H371" s="239">
        <f>H369</f>
        <v>1.1000000000000001E-3</v>
      </c>
      <c r="I371" s="221">
        <f t="shared" si="59"/>
        <v>331.55</v>
      </c>
      <c r="J371" s="237" t="s">
        <v>170</v>
      </c>
    </row>
    <row r="372" spans="2:10" ht="13.5" hidden="1" customHeight="1" outlineLevel="1" x14ac:dyDescent="0.2">
      <c r="B372" s="59" t="s">
        <v>100</v>
      </c>
      <c r="C372" s="59" t="s">
        <v>105</v>
      </c>
      <c r="D372" s="125">
        <v>1</v>
      </c>
      <c r="E372" s="125">
        <v>0</v>
      </c>
      <c r="F372" s="235">
        <v>1.5069999999999999</v>
      </c>
      <c r="G372" s="236">
        <v>6.4000000000000005E-4</v>
      </c>
      <c r="H372" s="236">
        <v>2.8E-5</v>
      </c>
      <c r="I372" s="221">
        <f t="shared" si="59"/>
        <v>1531.3439999999998</v>
      </c>
      <c r="J372" s="237" t="s">
        <v>170</v>
      </c>
    </row>
    <row r="373" spans="2:10" ht="13.5" hidden="1" customHeight="1" outlineLevel="1" x14ac:dyDescent="0.2">
      <c r="B373" s="59" t="s">
        <v>100</v>
      </c>
      <c r="C373" s="59" t="s">
        <v>70</v>
      </c>
      <c r="D373" s="125">
        <v>0.9</v>
      </c>
      <c r="E373" s="125">
        <v>9.9999999999999978E-2</v>
      </c>
      <c r="F373" s="238">
        <f>D373*$F$321</f>
        <v>2.0605263157894735</v>
      </c>
      <c r="G373" s="239">
        <f>G368</f>
        <v>1.2999999999999999E-3</v>
      </c>
      <c r="H373" s="239">
        <f>H368</f>
        <v>6.6000000000000005E-5</v>
      </c>
      <c r="I373" s="221">
        <f t="shared" si="59"/>
        <v>2112.6943157894734</v>
      </c>
      <c r="J373" s="237" t="s">
        <v>170</v>
      </c>
    </row>
    <row r="374" spans="2:10" ht="13.5" hidden="1" customHeight="1" outlineLevel="1" x14ac:dyDescent="0.2">
      <c r="B374" s="59" t="s">
        <v>100</v>
      </c>
      <c r="C374" s="59" t="s">
        <v>65</v>
      </c>
      <c r="D374" s="125">
        <v>0.95</v>
      </c>
      <c r="E374" s="125">
        <v>5.0000000000000044E-2</v>
      </c>
      <c r="F374" s="238">
        <f>D374*$F$322</f>
        <v>2.5293749999999999</v>
      </c>
      <c r="G374" s="239">
        <f>+G369</f>
        <v>1.4999999999999999E-4</v>
      </c>
      <c r="H374" s="239">
        <f>+H369</f>
        <v>1.1000000000000001E-3</v>
      </c>
      <c r="I374" s="221">
        <f t="shared" si="59"/>
        <v>2860.9249999999997</v>
      </c>
      <c r="J374" s="237" t="s">
        <v>170</v>
      </c>
    </row>
    <row r="375" spans="2:10" ht="13.5" hidden="1" customHeight="1" outlineLevel="1" x14ac:dyDescent="0.2">
      <c r="B375" s="59" t="s">
        <v>100</v>
      </c>
      <c r="C375" s="59" t="s">
        <v>114</v>
      </c>
      <c r="D375" s="125">
        <v>0.9</v>
      </c>
      <c r="E375" s="125">
        <v>9.9999999999999978E-2</v>
      </c>
      <c r="F375" s="238">
        <f>D375*$F$322</f>
        <v>2.3962500000000002</v>
      </c>
      <c r="G375" s="239">
        <f t="shared" ref="G375:H377" si="60">+G374</f>
        <v>1.4999999999999999E-4</v>
      </c>
      <c r="H375" s="239">
        <f t="shared" si="60"/>
        <v>1.1000000000000001E-3</v>
      </c>
      <c r="I375" s="221">
        <f t="shared" si="59"/>
        <v>2727.8</v>
      </c>
      <c r="J375" s="237" t="s">
        <v>170</v>
      </c>
    </row>
    <row r="376" spans="2:10" ht="13.5" hidden="1" customHeight="1" outlineLevel="1" x14ac:dyDescent="0.2">
      <c r="B376" s="59" t="s">
        <v>100</v>
      </c>
      <c r="C376" s="59" t="s">
        <v>63</v>
      </c>
      <c r="D376" s="125">
        <v>0.8</v>
      </c>
      <c r="E376" s="125">
        <v>0.19999999999999996</v>
      </c>
      <c r="F376" s="238">
        <f>D376*$F$322</f>
        <v>2.1300000000000003</v>
      </c>
      <c r="G376" s="239">
        <f t="shared" si="60"/>
        <v>1.4999999999999999E-4</v>
      </c>
      <c r="H376" s="239">
        <f t="shared" si="60"/>
        <v>1.1000000000000001E-3</v>
      </c>
      <c r="I376" s="221">
        <f t="shared" si="59"/>
        <v>2461.5500000000002</v>
      </c>
      <c r="J376" s="237" t="s">
        <v>170</v>
      </c>
    </row>
    <row r="377" spans="2:10" ht="13.5" hidden="1" customHeight="1" outlineLevel="1" x14ac:dyDescent="0.2">
      <c r="B377" s="59" t="s">
        <v>100</v>
      </c>
      <c r="C377" s="59" t="s">
        <v>115</v>
      </c>
      <c r="D377" s="125">
        <v>0.5</v>
      </c>
      <c r="E377" s="125">
        <v>0.5</v>
      </c>
      <c r="F377" s="238">
        <f>D377*$F$322</f>
        <v>1.33125</v>
      </c>
      <c r="G377" s="239">
        <f t="shared" si="60"/>
        <v>1.4999999999999999E-4</v>
      </c>
      <c r="H377" s="239">
        <f t="shared" si="60"/>
        <v>1.1000000000000001E-3</v>
      </c>
      <c r="I377" s="221">
        <f t="shared" si="59"/>
        <v>1662.8</v>
      </c>
      <c r="J377" s="237" t="s">
        <v>170</v>
      </c>
    </row>
    <row r="378" spans="2:10" ht="13.5" hidden="1" customHeight="1" outlineLevel="1" x14ac:dyDescent="0.2">
      <c r="B378" s="39" t="s">
        <v>107</v>
      </c>
      <c r="C378" s="94" t="s">
        <v>52</v>
      </c>
      <c r="D378" s="121">
        <v>0.95</v>
      </c>
      <c r="E378" s="121">
        <v>0.05</v>
      </c>
      <c r="F378" s="227">
        <v>2.3420000000000001</v>
      </c>
      <c r="G378" s="228">
        <v>2.2000000000000001E-3</v>
      </c>
      <c r="H378" s="228">
        <v>2.3000000000000001E-4</v>
      </c>
      <c r="I378" s="221">
        <f t="shared" si="59"/>
        <v>2465.5400000000004</v>
      </c>
      <c r="J378" s="229" t="s">
        <v>170</v>
      </c>
    </row>
    <row r="379" spans="2:10" ht="13.5" hidden="1" customHeight="1" outlineLevel="1" x14ac:dyDescent="0.2">
      <c r="B379" s="39" t="s">
        <v>107</v>
      </c>
      <c r="C379" s="82" t="s">
        <v>51</v>
      </c>
      <c r="D379" s="118">
        <v>0.96</v>
      </c>
      <c r="E379" s="121">
        <v>0.04</v>
      </c>
      <c r="F379" s="227">
        <v>2.5339999999999998</v>
      </c>
      <c r="G379" s="228">
        <v>2.9E-5</v>
      </c>
      <c r="H379" s="228">
        <v>7.1000000000000005E-5</v>
      </c>
      <c r="I379" s="221">
        <f t="shared" si="59"/>
        <v>2555.8829999999998</v>
      </c>
      <c r="J379" s="229" t="s">
        <v>170</v>
      </c>
    </row>
    <row r="380" spans="2:10" collapsed="1" x14ac:dyDescent="0.2"/>
  </sheetData>
  <mergeCells count="2">
    <mergeCell ref="H13:L13"/>
    <mergeCell ref="H14:L14"/>
  </mergeCells>
  <hyperlinks>
    <hyperlink ref="H272" r:id="rId1"/>
    <hyperlink ref="N311" r:id="rId2"/>
    <hyperlink ref="N309" r:id="rId3"/>
    <hyperlink ref="O324" r:id="rId4"/>
    <hyperlink ref="O323:O328" r:id="rId5" display="BC Greenhouse Gas Inventory Report 2008, p.62"/>
    <hyperlink ref="O328" r:id="rId6" display="BC Greenhouse Gas Inventory Report 2008, p.62"/>
    <hyperlink ref="H14" r:id="rId7"/>
    <hyperlink ref="H76" r:id="rId8"/>
    <hyperlink ref="H62" r:id="rId9" display="https://www.toolkit.bc.ca/sites/default/files/2014_best_practices_methodology_for_quantifying_greenhouse_gas_emissions %281%29.pdf"/>
  </hyperlinks>
  <pageMargins left="0.75" right="0.75" top="1" bottom="1" header="0.5" footer="0.5"/>
  <pageSetup scale="43" fitToHeight="0" orientation="landscape" r:id="rId10"/>
  <headerFooter alignWithMargins="0"/>
  <legacyDrawing r:id="rId1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workbookViewId="0">
      <selection activeCell="H5" sqref="H5"/>
    </sheetView>
  </sheetViews>
  <sheetFormatPr defaultRowHeight="15" x14ac:dyDescent="0.25"/>
  <cols>
    <col min="1" max="1" width="22.85546875" customWidth="1"/>
    <col min="2" max="2" width="19.85546875" customWidth="1"/>
    <col min="3" max="3" width="22.28515625" customWidth="1"/>
    <col min="4" max="4" width="26.140625" customWidth="1"/>
    <col min="5" max="5" width="8.85546875" style="251"/>
  </cols>
  <sheetData>
    <row r="1" spans="1:6" s="247" customFormat="1" ht="23.25" x14ac:dyDescent="0.35">
      <c r="A1" s="247" t="s">
        <v>180</v>
      </c>
      <c r="E1" s="250"/>
    </row>
    <row r="2" spans="1:6" ht="34.15" customHeight="1" thickBot="1" x14ac:dyDescent="0.3">
      <c r="A2" s="242" t="s">
        <v>175</v>
      </c>
      <c r="B2" s="242" t="s">
        <v>176</v>
      </c>
      <c r="C2" s="242" t="s">
        <v>177</v>
      </c>
      <c r="D2" s="242" t="s">
        <v>178</v>
      </c>
      <c r="F2" s="38" t="s">
        <v>179</v>
      </c>
    </row>
    <row r="3" spans="1:6" x14ac:dyDescent="0.25">
      <c r="A3" s="243">
        <v>1</v>
      </c>
      <c r="B3" s="243">
        <v>0.39</v>
      </c>
      <c r="C3" s="243">
        <v>0.54</v>
      </c>
      <c r="D3" s="243">
        <v>0.69</v>
      </c>
      <c r="E3" s="251" t="s">
        <v>186</v>
      </c>
    </row>
    <row r="4" spans="1:6" x14ac:dyDescent="0.25">
      <c r="A4" s="243">
        <v>2</v>
      </c>
      <c r="B4" s="243">
        <v>0.39</v>
      </c>
      <c r="C4" s="243">
        <v>0.54</v>
      </c>
      <c r="D4" s="243">
        <v>0.69</v>
      </c>
      <c r="E4" s="251" t="s">
        <v>186</v>
      </c>
    </row>
    <row r="5" spans="1:6" x14ac:dyDescent="0.25">
      <c r="A5" s="243">
        <v>2.4</v>
      </c>
      <c r="B5" s="243">
        <v>0.39</v>
      </c>
      <c r="C5" s="243">
        <v>0.54</v>
      </c>
      <c r="D5" s="243">
        <v>0.69</v>
      </c>
      <c r="E5" s="251" t="s">
        <v>186</v>
      </c>
    </row>
    <row r="6" spans="1:6" x14ac:dyDescent="0.25">
      <c r="A6" s="243">
        <v>3</v>
      </c>
      <c r="B6" s="243">
        <v>0.39</v>
      </c>
      <c r="C6" s="243">
        <v>0.54</v>
      </c>
      <c r="D6" s="243">
        <v>0.69</v>
      </c>
      <c r="E6" s="251" t="s">
        <v>186</v>
      </c>
    </row>
    <row r="7" spans="1:6" x14ac:dyDescent="0.25">
      <c r="A7" s="243">
        <v>4</v>
      </c>
      <c r="B7" s="243">
        <v>0.39</v>
      </c>
      <c r="C7" s="243">
        <v>0.54</v>
      </c>
      <c r="D7" s="243">
        <v>0.69</v>
      </c>
      <c r="E7" s="251" t="s">
        <v>186</v>
      </c>
    </row>
    <row r="8" spans="1:6" x14ac:dyDescent="0.25">
      <c r="A8" s="243">
        <v>5</v>
      </c>
      <c r="B8" s="243">
        <v>0.39</v>
      </c>
      <c r="C8" s="243">
        <v>0.54</v>
      </c>
      <c r="D8" s="243">
        <v>0.69</v>
      </c>
      <c r="E8" s="251" t="s">
        <v>186</v>
      </c>
    </row>
    <row r="9" spans="1:6" x14ac:dyDescent="0.25">
      <c r="A9" s="243">
        <v>6</v>
      </c>
      <c r="B9" s="243">
        <v>0.39</v>
      </c>
      <c r="C9" s="243">
        <v>0.54</v>
      </c>
      <c r="D9" s="243">
        <v>0.69</v>
      </c>
      <c r="E9" s="251" t="s">
        <v>186</v>
      </c>
    </row>
    <row r="10" spans="1:6" x14ac:dyDescent="0.25">
      <c r="A10" s="243">
        <v>6.5</v>
      </c>
      <c r="B10" s="243">
        <v>0.39</v>
      </c>
      <c r="C10" s="243">
        <v>0.54</v>
      </c>
      <c r="D10" s="243">
        <v>0.69</v>
      </c>
      <c r="E10" s="251" t="s">
        <v>186</v>
      </c>
    </row>
    <row r="11" spans="1:6" ht="11.45" customHeight="1" x14ac:dyDescent="0.25">
      <c r="A11" s="243">
        <v>7</v>
      </c>
      <c r="B11" s="243">
        <v>0.39</v>
      </c>
      <c r="C11" s="243">
        <v>0.54</v>
      </c>
      <c r="D11" s="243">
        <v>0.69</v>
      </c>
      <c r="E11" s="251" t="s">
        <v>186</v>
      </c>
    </row>
    <row r="12" spans="1:6" ht="11.45" customHeight="1" x14ac:dyDescent="0.25">
      <c r="A12" s="243">
        <v>7.5</v>
      </c>
      <c r="B12" s="243">
        <v>0.39</v>
      </c>
      <c r="C12" s="243">
        <v>0.54</v>
      </c>
      <c r="D12" s="243">
        <v>0.69</v>
      </c>
      <c r="E12" s="251" t="s">
        <v>186</v>
      </c>
    </row>
    <row r="13" spans="1:6" x14ac:dyDescent="0.25">
      <c r="A13" s="243">
        <v>8</v>
      </c>
      <c r="B13" s="243">
        <v>0.39</v>
      </c>
      <c r="C13" s="243">
        <v>0.54</v>
      </c>
      <c r="D13" s="243">
        <v>0.69</v>
      </c>
      <c r="E13" s="251" t="s">
        <v>186</v>
      </c>
    </row>
    <row r="14" spans="1:6" ht="15.75" thickBot="1" x14ac:dyDescent="0.3">
      <c r="A14" s="243">
        <v>9</v>
      </c>
      <c r="B14" s="243">
        <v>0.39</v>
      </c>
      <c r="C14" s="243">
        <v>0.54</v>
      </c>
      <c r="D14" s="243">
        <v>0.69</v>
      </c>
      <c r="E14" s="251" t="s">
        <v>186</v>
      </c>
    </row>
    <row r="15" spans="1:6" ht="15.75" thickBot="1" x14ac:dyDescent="0.3">
      <c r="A15" s="244">
        <v>10</v>
      </c>
      <c r="B15" s="244">
        <v>0.53</v>
      </c>
      <c r="C15" s="244">
        <v>0.65</v>
      </c>
      <c r="D15" s="244">
        <v>0.88</v>
      </c>
      <c r="E15" s="251" t="s">
        <v>186</v>
      </c>
    </row>
    <row r="16" spans="1:6" ht="15.75" thickBot="1" x14ac:dyDescent="0.3">
      <c r="A16" s="245">
        <v>15</v>
      </c>
      <c r="B16" s="245">
        <v>0.69</v>
      </c>
      <c r="C16" s="245">
        <v>0.94</v>
      </c>
      <c r="D16" s="245">
        <v>1.22</v>
      </c>
      <c r="E16" s="251" t="s">
        <v>186</v>
      </c>
    </row>
    <row r="17" spans="1:5" ht="15.75" thickBot="1" x14ac:dyDescent="0.3">
      <c r="A17" s="244">
        <v>20</v>
      </c>
      <c r="B17" s="244">
        <v>0.9</v>
      </c>
      <c r="C17" s="244">
        <v>1.3</v>
      </c>
      <c r="D17" s="244">
        <v>1.6</v>
      </c>
      <c r="E17" s="251" t="s">
        <v>186</v>
      </c>
    </row>
    <row r="18" spans="1:5" ht="15.75" thickBot="1" x14ac:dyDescent="0.3">
      <c r="A18" s="245">
        <v>30</v>
      </c>
      <c r="B18" s="245">
        <v>1.8</v>
      </c>
      <c r="C18" s="245">
        <v>2.4</v>
      </c>
      <c r="D18" s="245">
        <v>2.9</v>
      </c>
      <c r="E18" s="251" t="s">
        <v>186</v>
      </c>
    </row>
    <row r="19" spans="1:5" ht="15.75" thickBot="1" x14ac:dyDescent="0.3">
      <c r="A19" s="244">
        <v>40</v>
      </c>
      <c r="B19" s="244">
        <v>2.2999999999999998</v>
      </c>
      <c r="C19" s="244">
        <v>3.2</v>
      </c>
      <c r="D19" s="244">
        <v>4</v>
      </c>
      <c r="E19" s="251" t="s">
        <v>186</v>
      </c>
    </row>
    <row r="20" spans="1:5" ht="15.75" thickBot="1" x14ac:dyDescent="0.3">
      <c r="A20" s="245">
        <v>60</v>
      </c>
      <c r="B20" s="245">
        <v>2.9</v>
      </c>
      <c r="C20" s="245">
        <v>3.8</v>
      </c>
      <c r="D20" s="245">
        <v>4.8</v>
      </c>
      <c r="E20" s="251" t="s">
        <v>186</v>
      </c>
    </row>
    <row r="21" spans="1:5" ht="15.75" thickBot="1" x14ac:dyDescent="0.3">
      <c r="A21" s="244">
        <v>75</v>
      </c>
      <c r="B21" s="244">
        <v>3.4</v>
      </c>
      <c r="C21" s="244">
        <v>4.5999999999999996</v>
      </c>
      <c r="D21" s="244">
        <v>6.1</v>
      </c>
      <c r="E21" s="251" t="s">
        <v>186</v>
      </c>
    </row>
    <row r="22" spans="1:5" ht="15.75" thickBot="1" x14ac:dyDescent="0.3">
      <c r="A22" s="245">
        <v>100</v>
      </c>
      <c r="B22" s="245">
        <v>4.0999999999999996</v>
      </c>
      <c r="C22" s="245">
        <v>5.8</v>
      </c>
      <c r="D22" s="245">
        <v>7.4</v>
      </c>
      <c r="E22" s="251" t="s">
        <v>186</v>
      </c>
    </row>
    <row r="23" spans="1:5" ht="15.75" thickBot="1" x14ac:dyDescent="0.3">
      <c r="A23" s="244">
        <v>125</v>
      </c>
      <c r="B23" s="244">
        <v>5</v>
      </c>
      <c r="C23" s="244">
        <v>7.1</v>
      </c>
      <c r="D23" s="244">
        <v>9.1</v>
      </c>
      <c r="E23" s="251" t="s">
        <v>186</v>
      </c>
    </row>
    <row r="24" spans="1:5" ht="15.75" thickBot="1" x14ac:dyDescent="0.3">
      <c r="A24" s="245">
        <v>135</v>
      </c>
      <c r="B24" s="245">
        <v>5.4</v>
      </c>
      <c r="C24" s="245">
        <v>7.6</v>
      </c>
      <c r="D24" s="245">
        <v>9.8000000000000007</v>
      </c>
      <c r="E24" s="251" t="s">
        <v>186</v>
      </c>
    </row>
    <row r="25" spans="1:5" ht="15.75" thickBot="1" x14ac:dyDescent="0.3">
      <c r="A25" s="244">
        <v>150</v>
      </c>
      <c r="B25" s="244">
        <v>5.9</v>
      </c>
      <c r="C25" s="244">
        <v>8.4</v>
      </c>
      <c r="D25" s="244">
        <v>10.9</v>
      </c>
      <c r="E25" s="251" t="s">
        <v>186</v>
      </c>
    </row>
    <row r="26" spans="1:5" ht="15.75" thickBot="1" x14ac:dyDescent="0.3">
      <c r="A26" s="245">
        <v>175</v>
      </c>
      <c r="B26" s="245">
        <v>6.8</v>
      </c>
      <c r="C26" s="245">
        <v>9.6999999999999993</v>
      </c>
      <c r="D26" s="245">
        <v>12.7</v>
      </c>
      <c r="E26" s="251" t="s">
        <v>186</v>
      </c>
    </row>
    <row r="27" spans="1:5" ht="15.75" thickBot="1" x14ac:dyDescent="0.3">
      <c r="A27" s="244">
        <v>200</v>
      </c>
      <c r="B27" s="244">
        <v>7.7</v>
      </c>
      <c r="C27" s="244">
        <v>11</v>
      </c>
      <c r="D27" s="244">
        <v>14.4</v>
      </c>
      <c r="E27" s="251" t="s">
        <v>186</v>
      </c>
    </row>
    <row r="28" spans="1:5" ht="15.75" thickBot="1" x14ac:dyDescent="0.3">
      <c r="A28" s="245">
        <v>230</v>
      </c>
      <c r="B28" s="245">
        <v>8.8000000000000007</v>
      </c>
      <c r="C28" s="245">
        <v>12.5</v>
      </c>
      <c r="D28" s="245">
        <v>16.600000000000001</v>
      </c>
      <c r="E28" s="251" t="s">
        <v>186</v>
      </c>
    </row>
    <row r="29" spans="1:5" ht="15.75" thickBot="1" x14ac:dyDescent="0.3">
      <c r="A29" s="244">
        <v>250</v>
      </c>
      <c r="B29" s="244">
        <v>9.5</v>
      </c>
      <c r="C29" s="244">
        <v>13.6</v>
      </c>
      <c r="D29" s="244">
        <v>18</v>
      </c>
      <c r="E29" s="251" t="s">
        <v>186</v>
      </c>
    </row>
    <row r="30" spans="1:5" ht="15.75" thickBot="1" x14ac:dyDescent="0.3">
      <c r="A30" s="245">
        <v>300</v>
      </c>
      <c r="B30" s="245">
        <v>11.3</v>
      </c>
      <c r="C30" s="245">
        <v>16.100000000000001</v>
      </c>
      <c r="D30" s="245">
        <v>21.5</v>
      </c>
      <c r="E30" s="251" t="s">
        <v>186</v>
      </c>
    </row>
    <row r="31" spans="1:5" ht="15.75" thickBot="1" x14ac:dyDescent="0.3">
      <c r="A31" s="244">
        <v>350</v>
      </c>
      <c r="B31" s="244">
        <v>13.1</v>
      </c>
      <c r="C31" s="244">
        <v>18.7</v>
      </c>
      <c r="D31" s="244">
        <v>25.1</v>
      </c>
      <c r="E31" s="251" t="s">
        <v>186</v>
      </c>
    </row>
    <row r="32" spans="1:5" ht="15.75" thickBot="1" x14ac:dyDescent="0.3">
      <c r="A32" s="245">
        <v>400</v>
      </c>
      <c r="B32" s="245">
        <v>14.9</v>
      </c>
      <c r="C32" s="245">
        <v>21.3</v>
      </c>
      <c r="D32" s="245">
        <v>28.6</v>
      </c>
      <c r="E32" s="251" t="s">
        <v>186</v>
      </c>
    </row>
    <row r="33" spans="1:5" ht="15.75" thickBot="1" x14ac:dyDescent="0.3">
      <c r="A33" s="244">
        <v>500</v>
      </c>
      <c r="B33" s="244">
        <v>18.5</v>
      </c>
      <c r="C33" s="244">
        <v>26.4</v>
      </c>
      <c r="D33" s="244">
        <v>35.700000000000003</v>
      </c>
      <c r="E33" s="251" t="s">
        <v>186</v>
      </c>
    </row>
    <row r="34" spans="1:5" ht="15.75" thickBot="1" x14ac:dyDescent="0.3">
      <c r="A34" s="245">
        <v>600</v>
      </c>
      <c r="B34" s="245">
        <v>22</v>
      </c>
      <c r="C34" s="245">
        <v>31.5</v>
      </c>
      <c r="D34" s="245">
        <v>42.8</v>
      </c>
      <c r="E34" s="251" t="s">
        <v>186</v>
      </c>
    </row>
    <row r="35" spans="1:5" x14ac:dyDescent="0.25">
      <c r="A35" s="246">
        <v>750</v>
      </c>
      <c r="B35" s="246">
        <v>27.4</v>
      </c>
      <c r="C35" s="246">
        <v>39.299999999999997</v>
      </c>
      <c r="D35" s="246">
        <v>53.4</v>
      </c>
      <c r="E35" s="251" t="s">
        <v>186</v>
      </c>
    </row>
  </sheetData>
  <hyperlinks>
    <hyperlink ref="F2" r:id="rId1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workbookViewId="0">
      <selection activeCell="L16" sqref="L16"/>
    </sheetView>
  </sheetViews>
  <sheetFormatPr defaultRowHeight="15" x14ac:dyDescent="0.25"/>
  <cols>
    <col min="1" max="1" width="18.7109375" customWidth="1"/>
    <col min="2" max="2" width="20.140625" customWidth="1"/>
    <col min="3" max="3" width="17.28515625" customWidth="1"/>
    <col min="4" max="4" width="18" customWidth="1"/>
  </cols>
  <sheetData>
    <row r="1" spans="1:12" ht="23.25" x14ac:dyDescent="0.35">
      <c r="A1" s="247" t="s">
        <v>185</v>
      </c>
      <c r="H1" s="247" t="s">
        <v>252</v>
      </c>
    </row>
    <row r="2" spans="1:12" ht="51.75" thickBot="1" x14ac:dyDescent="0.3">
      <c r="A2" s="242" t="s">
        <v>175</v>
      </c>
      <c r="B2" s="242" t="s">
        <v>176</v>
      </c>
      <c r="C2" s="242" t="s">
        <v>177</v>
      </c>
      <c r="D2" s="242" t="s">
        <v>178</v>
      </c>
      <c r="H2" s="242" t="s">
        <v>175</v>
      </c>
      <c r="I2" s="242" t="s">
        <v>176</v>
      </c>
      <c r="J2" s="242" t="s">
        <v>177</v>
      </c>
      <c r="K2" s="242" t="s">
        <v>178</v>
      </c>
    </row>
    <row r="3" spans="1:12" x14ac:dyDescent="0.25">
      <c r="A3" s="243">
        <v>1</v>
      </c>
      <c r="B3" s="249">
        <v>0.42391304347826092</v>
      </c>
      <c r="C3" s="249">
        <v>0.5869565217391306</v>
      </c>
      <c r="D3" s="243">
        <v>0.75</v>
      </c>
      <c r="E3" t="s">
        <v>186</v>
      </c>
      <c r="H3" s="243">
        <v>1</v>
      </c>
      <c r="I3" s="249">
        <v>1</v>
      </c>
      <c r="J3" s="249">
        <v>2</v>
      </c>
      <c r="K3" s="243">
        <v>2.5</v>
      </c>
      <c r="L3" t="s">
        <v>186</v>
      </c>
    </row>
    <row r="4" spans="1:12" x14ac:dyDescent="0.25">
      <c r="A4" s="243">
        <v>2</v>
      </c>
      <c r="B4" s="249">
        <v>0.42391304347826092</v>
      </c>
      <c r="C4" s="249">
        <v>0.5869565217391306</v>
      </c>
      <c r="D4" s="243">
        <v>0.75</v>
      </c>
      <c r="E4" t="s">
        <v>186</v>
      </c>
      <c r="H4" s="243">
        <v>6</v>
      </c>
      <c r="I4" s="249">
        <v>1</v>
      </c>
      <c r="J4" s="249">
        <v>2</v>
      </c>
      <c r="K4" s="243">
        <v>2.5</v>
      </c>
      <c r="L4" t="s">
        <v>186</v>
      </c>
    </row>
    <row r="5" spans="1:12" x14ac:dyDescent="0.25">
      <c r="A5" s="243">
        <v>2.4</v>
      </c>
      <c r="B5" s="249">
        <v>0.59</v>
      </c>
      <c r="C5" s="243">
        <f t="shared" ref="C5:D15" si="0">18/24</f>
        <v>0.75</v>
      </c>
      <c r="D5" s="243">
        <f t="shared" si="0"/>
        <v>0.75</v>
      </c>
      <c r="E5" t="s">
        <v>186</v>
      </c>
      <c r="H5" s="243">
        <v>1</v>
      </c>
      <c r="I5" s="249">
        <v>1</v>
      </c>
      <c r="J5" s="249">
        <v>2</v>
      </c>
      <c r="K5" s="243">
        <v>2.5</v>
      </c>
    </row>
    <row r="6" spans="1:12" x14ac:dyDescent="0.25">
      <c r="A6" s="243">
        <v>3</v>
      </c>
      <c r="B6" s="249">
        <v>0.59</v>
      </c>
      <c r="C6" s="243">
        <f t="shared" si="0"/>
        <v>0.75</v>
      </c>
      <c r="D6" s="243">
        <f t="shared" si="0"/>
        <v>0.75</v>
      </c>
      <c r="E6" t="s">
        <v>186</v>
      </c>
      <c r="H6" s="243">
        <v>2</v>
      </c>
      <c r="I6" s="249">
        <v>1</v>
      </c>
      <c r="J6" s="249">
        <v>2</v>
      </c>
      <c r="K6" s="243">
        <v>2.5</v>
      </c>
    </row>
    <row r="7" spans="1:12" x14ac:dyDescent="0.25">
      <c r="A7" s="243">
        <v>4</v>
      </c>
      <c r="B7" s="249">
        <v>0.59</v>
      </c>
      <c r="C7" s="243">
        <f t="shared" si="0"/>
        <v>0.75</v>
      </c>
      <c r="D7" s="243">
        <f t="shared" si="0"/>
        <v>0.75</v>
      </c>
      <c r="E7" t="s">
        <v>186</v>
      </c>
      <c r="H7" s="243">
        <v>2.4</v>
      </c>
      <c r="I7" s="249">
        <v>1</v>
      </c>
      <c r="J7" s="249">
        <v>2</v>
      </c>
      <c r="K7" s="243">
        <v>2.5</v>
      </c>
    </row>
    <row r="8" spans="1:12" x14ac:dyDescent="0.25">
      <c r="A8" s="243">
        <v>5</v>
      </c>
      <c r="B8" s="249">
        <v>0.59</v>
      </c>
      <c r="C8" s="243">
        <f t="shared" si="0"/>
        <v>0.75</v>
      </c>
      <c r="D8" s="243">
        <f t="shared" si="0"/>
        <v>0.75</v>
      </c>
      <c r="E8" t="s">
        <v>186</v>
      </c>
      <c r="H8" s="243">
        <v>3</v>
      </c>
      <c r="I8" s="249">
        <v>1</v>
      </c>
      <c r="J8" s="249">
        <v>2</v>
      </c>
      <c r="K8" s="243">
        <v>2.5</v>
      </c>
    </row>
    <row r="9" spans="1:12" x14ac:dyDescent="0.25">
      <c r="A9" s="243">
        <v>6</v>
      </c>
      <c r="B9" s="249">
        <v>0.59</v>
      </c>
      <c r="C9" s="243">
        <f t="shared" si="0"/>
        <v>0.75</v>
      </c>
      <c r="D9" s="243">
        <f t="shared" si="0"/>
        <v>0.75</v>
      </c>
      <c r="E9" t="s">
        <v>186</v>
      </c>
      <c r="H9" s="243">
        <v>4</v>
      </c>
      <c r="I9" s="249">
        <v>1</v>
      </c>
      <c r="J9" s="249">
        <v>2</v>
      </c>
      <c r="K9" s="243">
        <v>2.5</v>
      </c>
    </row>
    <row r="10" spans="1:12" x14ac:dyDescent="0.25">
      <c r="A10" s="243">
        <v>6.5</v>
      </c>
      <c r="B10" s="249">
        <v>0.59</v>
      </c>
      <c r="C10" s="243">
        <f t="shared" si="0"/>
        <v>0.75</v>
      </c>
      <c r="D10" s="243">
        <f t="shared" si="0"/>
        <v>0.75</v>
      </c>
      <c r="E10" t="s">
        <v>186</v>
      </c>
      <c r="H10" s="243">
        <v>5</v>
      </c>
      <c r="I10" s="249">
        <v>1</v>
      </c>
      <c r="J10" s="249">
        <v>2</v>
      </c>
      <c r="K10" s="243">
        <v>2.5</v>
      </c>
    </row>
    <row r="11" spans="1:12" x14ac:dyDescent="0.25">
      <c r="A11" s="243">
        <v>7</v>
      </c>
      <c r="B11" s="249">
        <v>0.59</v>
      </c>
      <c r="C11" s="243">
        <f t="shared" si="0"/>
        <v>0.75</v>
      </c>
      <c r="D11" s="243">
        <f t="shared" si="0"/>
        <v>0.75</v>
      </c>
      <c r="E11" t="s">
        <v>186</v>
      </c>
      <c r="H11" s="243">
        <v>6</v>
      </c>
      <c r="I11" s="249">
        <v>1</v>
      </c>
      <c r="J11" s="249">
        <v>2</v>
      </c>
      <c r="K11" s="243">
        <v>2.5</v>
      </c>
    </row>
    <row r="12" spans="1:12" x14ac:dyDescent="0.25">
      <c r="A12" s="243">
        <v>7.5</v>
      </c>
      <c r="B12" s="249">
        <v>1.59</v>
      </c>
      <c r="C12" s="243">
        <f t="shared" si="0"/>
        <v>0.75</v>
      </c>
      <c r="D12" s="243">
        <f t="shared" si="0"/>
        <v>0.75</v>
      </c>
      <c r="H12" s="243">
        <v>6.5</v>
      </c>
      <c r="I12" s="249">
        <v>1</v>
      </c>
      <c r="J12" s="249">
        <v>2</v>
      </c>
      <c r="K12" s="243">
        <v>2.5</v>
      </c>
    </row>
    <row r="13" spans="1:12" x14ac:dyDescent="0.25">
      <c r="A13" s="243">
        <v>8</v>
      </c>
      <c r="B13" s="249">
        <v>2.59</v>
      </c>
      <c r="C13" s="243">
        <f t="shared" si="0"/>
        <v>0.75</v>
      </c>
      <c r="D13" s="243">
        <f t="shared" si="0"/>
        <v>0.75</v>
      </c>
      <c r="H13" s="243">
        <v>7</v>
      </c>
      <c r="I13" s="249">
        <v>1</v>
      </c>
      <c r="J13" s="249">
        <v>2</v>
      </c>
      <c r="K13" s="243">
        <v>2.5</v>
      </c>
    </row>
    <row r="14" spans="1:12" ht="15.75" thickBot="1" x14ac:dyDescent="0.3">
      <c r="A14" s="243">
        <v>9</v>
      </c>
      <c r="B14" s="249">
        <v>3.59</v>
      </c>
      <c r="C14" s="243">
        <f t="shared" si="0"/>
        <v>0.75</v>
      </c>
      <c r="D14" s="243">
        <f t="shared" si="0"/>
        <v>0.75</v>
      </c>
      <c r="H14" s="243">
        <v>7.5</v>
      </c>
      <c r="I14" s="249">
        <v>1</v>
      </c>
      <c r="J14" s="249">
        <v>2</v>
      </c>
      <c r="K14" s="243">
        <v>2.5</v>
      </c>
    </row>
    <row r="15" spans="1:12" x14ac:dyDescent="0.25">
      <c r="A15" s="244">
        <v>10</v>
      </c>
      <c r="B15" s="249">
        <v>4.59</v>
      </c>
      <c r="C15" s="243">
        <f t="shared" si="0"/>
        <v>0.75</v>
      </c>
      <c r="D15" s="243">
        <f t="shared" si="0"/>
        <v>0.75</v>
      </c>
      <c r="H15" s="243">
        <v>8</v>
      </c>
      <c r="I15" s="249">
        <v>1</v>
      </c>
      <c r="J15" s="249">
        <v>2</v>
      </c>
      <c r="K15" s="243">
        <v>2.5</v>
      </c>
    </row>
    <row r="16" spans="1:12" ht="15.75" thickBot="1" x14ac:dyDescent="0.3">
      <c r="H16" s="243">
        <v>9</v>
      </c>
      <c r="I16" s="249">
        <v>1</v>
      </c>
      <c r="J16" s="249">
        <v>2</v>
      </c>
      <c r="K16" s="243">
        <v>2.5</v>
      </c>
    </row>
    <row r="17" spans="8:11" x14ac:dyDescent="0.25">
      <c r="H17" s="244">
        <v>10</v>
      </c>
      <c r="I17" s="249">
        <v>1</v>
      </c>
      <c r="J17" s="249">
        <v>2</v>
      </c>
      <c r="K17" s="243">
        <v>2.5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A5" sqref="A5"/>
    </sheetView>
  </sheetViews>
  <sheetFormatPr defaultRowHeight="15" x14ac:dyDescent="0.25"/>
  <sheetData>
    <row r="1" spans="1:5" ht="23.25" x14ac:dyDescent="0.35">
      <c r="A1" s="247" t="s">
        <v>253</v>
      </c>
    </row>
    <row r="2" spans="1:5" ht="38.25" x14ac:dyDescent="0.25">
      <c r="A2" s="267" t="s">
        <v>184</v>
      </c>
      <c r="B2" s="267" t="s">
        <v>248</v>
      </c>
      <c r="C2" s="267" t="s">
        <v>249</v>
      </c>
      <c r="D2" s="267" t="s">
        <v>250</v>
      </c>
      <c r="E2" s="267" t="s">
        <v>251</v>
      </c>
    </row>
    <row r="3" spans="1:5" x14ac:dyDescent="0.25">
      <c r="A3" s="268">
        <v>2</v>
      </c>
      <c r="B3" s="268">
        <v>80</v>
      </c>
      <c r="C3" s="268">
        <v>68</v>
      </c>
      <c r="D3" s="268">
        <v>85</v>
      </c>
      <c r="E3" s="268">
        <v>88</v>
      </c>
    </row>
    <row r="4" spans="1:5" x14ac:dyDescent="0.25">
      <c r="A4" s="269">
        <v>5</v>
      </c>
      <c r="B4" s="269">
        <v>91</v>
      </c>
      <c r="C4" s="269">
        <v>78.5</v>
      </c>
      <c r="D4" s="269">
        <v>95</v>
      </c>
      <c r="E4" s="269">
        <v>98</v>
      </c>
    </row>
    <row r="5" spans="1:5" x14ac:dyDescent="0.25">
      <c r="A5" s="268">
        <v>20</v>
      </c>
      <c r="B5" s="268">
        <v>157</v>
      </c>
      <c r="C5" s="268">
        <v>188</v>
      </c>
      <c r="D5" s="268">
        <v>247</v>
      </c>
      <c r="E5" s="268">
        <v>289</v>
      </c>
    </row>
    <row r="6" spans="1:5" x14ac:dyDescent="0.25">
      <c r="A6" s="269">
        <v>30</v>
      </c>
      <c r="B6" s="269">
        <v>202</v>
      </c>
      <c r="C6" s="269">
        <v>260</v>
      </c>
      <c r="D6" s="269">
        <v>348</v>
      </c>
      <c r="E6" s="269">
        <v>416</v>
      </c>
    </row>
    <row r="7" spans="1:5" x14ac:dyDescent="0.25">
      <c r="A7" s="268">
        <v>40</v>
      </c>
      <c r="B7" s="268">
        <v>246</v>
      </c>
      <c r="C7" s="268">
        <v>333</v>
      </c>
      <c r="D7" s="268">
        <v>449</v>
      </c>
      <c r="E7" s="268">
        <v>543</v>
      </c>
    </row>
    <row r="8" spans="1:5" x14ac:dyDescent="0.25">
      <c r="A8" s="269">
        <v>60</v>
      </c>
      <c r="B8" s="269">
        <v>334</v>
      </c>
      <c r="C8" s="269">
        <v>479</v>
      </c>
      <c r="D8" s="269">
        <v>652</v>
      </c>
      <c r="E8" s="269">
        <v>798</v>
      </c>
    </row>
    <row r="9" spans="1:5" x14ac:dyDescent="0.25">
      <c r="A9" s="268">
        <v>75</v>
      </c>
      <c r="B9" s="268">
        <v>400</v>
      </c>
      <c r="C9" s="268">
        <v>588</v>
      </c>
      <c r="D9" s="268">
        <v>803</v>
      </c>
      <c r="E9" s="268">
        <v>990</v>
      </c>
    </row>
    <row r="10" spans="1:5" x14ac:dyDescent="0.25">
      <c r="A10" s="269">
        <v>100</v>
      </c>
      <c r="B10" s="269">
        <v>510</v>
      </c>
      <c r="C10" s="269">
        <v>771</v>
      </c>
      <c r="D10" s="269">
        <v>1056</v>
      </c>
      <c r="E10" s="269">
        <v>1308</v>
      </c>
    </row>
    <row r="11" spans="1:5" x14ac:dyDescent="0.25">
      <c r="A11" s="268">
        <v>125</v>
      </c>
      <c r="B11" s="268">
        <v>621</v>
      </c>
      <c r="C11" s="268">
        <v>953</v>
      </c>
      <c r="D11" s="268">
        <v>1308</v>
      </c>
      <c r="E11" s="268">
        <v>1627</v>
      </c>
    </row>
    <row r="12" spans="1:5" x14ac:dyDescent="0.25">
      <c r="A12" s="269">
        <v>135</v>
      </c>
      <c r="B12" s="269">
        <v>665</v>
      </c>
      <c r="C12" s="269">
        <v>1026</v>
      </c>
      <c r="D12" s="269">
        <v>1409</v>
      </c>
      <c r="E12" s="269">
        <v>1754</v>
      </c>
    </row>
    <row r="13" spans="1:5" x14ac:dyDescent="0.25">
      <c r="A13" s="268">
        <v>150</v>
      </c>
      <c r="B13" s="268">
        <v>731</v>
      </c>
      <c r="C13" s="268">
        <v>1135</v>
      </c>
      <c r="D13" s="268">
        <v>1561</v>
      </c>
      <c r="E13" s="268">
        <v>1946</v>
      </c>
    </row>
    <row r="14" spans="1:5" x14ac:dyDescent="0.25">
      <c r="A14" s="269">
        <v>175</v>
      </c>
      <c r="B14" s="269">
        <v>841</v>
      </c>
      <c r="C14" s="269">
        <v>1317</v>
      </c>
      <c r="D14" s="269">
        <v>1813</v>
      </c>
      <c r="E14" s="269">
        <v>2264</v>
      </c>
    </row>
    <row r="15" spans="1:5" x14ac:dyDescent="0.25">
      <c r="A15" s="268">
        <v>200</v>
      </c>
      <c r="B15" s="268">
        <v>952</v>
      </c>
      <c r="C15" s="268">
        <v>1500</v>
      </c>
      <c r="D15" s="268">
        <v>2066</v>
      </c>
      <c r="E15" s="268">
        <v>2583</v>
      </c>
    </row>
    <row r="16" spans="1:5" x14ac:dyDescent="0.25">
      <c r="A16" s="269">
        <v>230</v>
      </c>
      <c r="B16" s="269">
        <v>1084</v>
      </c>
      <c r="C16" s="269">
        <v>1718</v>
      </c>
      <c r="D16" s="269">
        <v>2369</v>
      </c>
      <c r="E16" s="269">
        <v>2965</v>
      </c>
    </row>
    <row r="17" spans="1:5" x14ac:dyDescent="0.25">
      <c r="A17" s="268">
        <v>250</v>
      </c>
      <c r="B17" s="268">
        <v>1172</v>
      </c>
      <c r="C17" s="268">
        <v>1864</v>
      </c>
      <c r="D17" s="268">
        <v>2571</v>
      </c>
      <c r="E17" s="268">
        <v>3220</v>
      </c>
    </row>
    <row r="18" spans="1:5" x14ac:dyDescent="0.25">
      <c r="A18" s="269">
        <v>300</v>
      </c>
      <c r="B18" s="269">
        <v>1393</v>
      </c>
      <c r="C18" s="269">
        <v>2229</v>
      </c>
      <c r="D18" s="269">
        <v>3076</v>
      </c>
      <c r="E18" s="269">
        <v>3857</v>
      </c>
    </row>
    <row r="19" spans="1:5" x14ac:dyDescent="0.25">
      <c r="A19" s="268">
        <v>350</v>
      </c>
      <c r="B19" s="268">
        <v>1614</v>
      </c>
      <c r="C19" s="268">
        <v>2593</v>
      </c>
      <c r="D19" s="268">
        <v>3581</v>
      </c>
      <c r="E19" s="268">
        <v>4495</v>
      </c>
    </row>
    <row r="20" spans="1:5" x14ac:dyDescent="0.25">
      <c r="A20" s="269">
        <v>400</v>
      </c>
      <c r="B20" s="269">
        <v>1834</v>
      </c>
      <c r="C20" s="269">
        <v>2958</v>
      </c>
      <c r="D20" s="269">
        <v>4086</v>
      </c>
      <c r="E20" s="269">
        <v>5132</v>
      </c>
    </row>
    <row r="21" spans="1:5" x14ac:dyDescent="0.25">
      <c r="A21" s="268">
        <v>500</v>
      </c>
      <c r="B21" s="268">
        <v>2276</v>
      </c>
      <c r="C21" s="268">
        <v>3687</v>
      </c>
      <c r="D21" s="268">
        <v>5096</v>
      </c>
      <c r="E21" s="268">
        <v>6407</v>
      </c>
    </row>
    <row r="22" spans="1:5" x14ac:dyDescent="0.25">
      <c r="A22" s="269">
        <v>600</v>
      </c>
      <c r="B22" s="269">
        <v>2717</v>
      </c>
      <c r="C22" s="269">
        <v>4416</v>
      </c>
      <c r="D22" s="269">
        <v>6107</v>
      </c>
      <c r="E22" s="269">
        <v>7681</v>
      </c>
    </row>
    <row r="23" spans="1:5" x14ac:dyDescent="0.25">
      <c r="A23" s="268">
        <v>750</v>
      </c>
      <c r="B23" s="268">
        <v>3379</v>
      </c>
      <c r="C23" s="268">
        <v>5509</v>
      </c>
      <c r="D23" s="268">
        <v>7622</v>
      </c>
      <c r="E23" s="268">
        <v>9593</v>
      </c>
    </row>
    <row r="24" spans="1:5" x14ac:dyDescent="0.25">
      <c r="A24" s="269">
        <v>1000</v>
      </c>
      <c r="B24" s="269">
        <v>4482</v>
      </c>
      <c r="C24" s="269">
        <v>7332</v>
      </c>
      <c r="D24" s="269">
        <v>10147</v>
      </c>
      <c r="E24" s="269">
        <v>12780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62</vt:i4>
      </vt:variant>
    </vt:vector>
  </HeadingPairs>
  <TitlesOfParts>
    <vt:vector size="68" baseType="lpstr">
      <vt:lpstr>Input</vt:lpstr>
      <vt:lpstr>Drop Down Lists</vt:lpstr>
      <vt:lpstr>Emission Factors</vt:lpstr>
      <vt:lpstr>Fuel Consumption by Gen Size</vt:lpstr>
      <vt:lpstr>Gas fuel consumption by Gen Siz</vt:lpstr>
      <vt:lpstr>Nat Gas Consumption by Gen Size</vt:lpstr>
      <vt:lpstr>EF_B10_HDV</vt:lpstr>
      <vt:lpstr>EF_B10_LDT</vt:lpstr>
      <vt:lpstr>EF_B10_LDV</vt:lpstr>
      <vt:lpstr>EF_B10_M</vt:lpstr>
      <vt:lpstr>EF_B10_OR</vt:lpstr>
      <vt:lpstr>EF_B100</vt:lpstr>
      <vt:lpstr>EF_B100_HDV</vt:lpstr>
      <vt:lpstr>EF_B100_LDT</vt:lpstr>
      <vt:lpstr>EF_B100_LDV</vt:lpstr>
      <vt:lpstr>EF_B100_M</vt:lpstr>
      <vt:lpstr>EF_B100_OR</vt:lpstr>
      <vt:lpstr>EF_B20_HDV</vt:lpstr>
      <vt:lpstr>EF_B20_LDT</vt:lpstr>
      <vt:lpstr>EF_B20_LDV</vt:lpstr>
      <vt:lpstr>EF_B20_M</vt:lpstr>
      <vt:lpstr>EF_B20_OR</vt:lpstr>
      <vt:lpstr>EF_B5_HDV</vt:lpstr>
      <vt:lpstr>EF_B5_LDT</vt:lpstr>
      <vt:lpstr>EF_B5_LDV</vt:lpstr>
      <vt:lpstr>EF_B5_M</vt:lpstr>
      <vt:lpstr>EF_B5_OR</vt:lpstr>
      <vt:lpstr>EF_B50_HDV</vt:lpstr>
      <vt:lpstr>EF_B50_LDT</vt:lpstr>
      <vt:lpstr>EF_B50_LDV</vt:lpstr>
      <vt:lpstr>EF_B50_M</vt:lpstr>
      <vt:lpstr>EF_B50_OR</vt:lpstr>
      <vt:lpstr>EF_D_AV</vt:lpstr>
      <vt:lpstr>EF_D_HDV</vt:lpstr>
      <vt:lpstr>EF_D_LDT</vt:lpstr>
      <vt:lpstr>EF_D_LDV</vt:lpstr>
      <vt:lpstr>EF_D_M</vt:lpstr>
      <vt:lpstr>EF_D_OR</vt:lpstr>
      <vt:lpstr>EF_E10_HDV</vt:lpstr>
      <vt:lpstr>EF_E10_LDT</vt:lpstr>
      <vt:lpstr>EF_E10_LDV</vt:lpstr>
      <vt:lpstr>EF_E10_M</vt:lpstr>
      <vt:lpstr>EF_E10_MC</vt:lpstr>
      <vt:lpstr>EF_E10_OR</vt:lpstr>
      <vt:lpstr>EF_E100</vt:lpstr>
      <vt:lpstr>EF_E100_HDV</vt:lpstr>
      <vt:lpstr>EF_E100_LDT</vt:lpstr>
      <vt:lpstr>EF_E100_LDV</vt:lpstr>
      <vt:lpstr>EF_E100_M</vt:lpstr>
      <vt:lpstr>EF_E100_OR</vt:lpstr>
      <vt:lpstr>EF_G_AV</vt:lpstr>
      <vt:lpstr>EF_G_HDV</vt:lpstr>
      <vt:lpstr>EF_G_LDT</vt:lpstr>
      <vt:lpstr>EF_G_LDV</vt:lpstr>
      <vt:lpstr>EF_G_M</vt:lpstr>
      <vt:lpstr>EF_G_MC</vt:lpstr>
      <vt:lpstr>EF_G_OR</vt:lpstr>
      <vt:lpstr>EF_NG_LDT</vt:lpstr>
      <vt:lpstr>EF_NG_LDV</vt:lpstr>
      <vt:lpstr>EF_NG_OR</vt:lpstr>
      <vt:lpstr>EF_P_HDV</vt:lpstr>
      <vt:lpstr>EF_P_LDT</vt:lpstr>
      <vt:lpstr>EF_P_LDV</vt:lpstr>
      <vt:lpstr>EF_P_M</vt:lpstr>
      <vt:lpstr>EF_P_OR</vt:lpstr>
      <vt:lpstr>EF_steam</vt:lpstr>
      <vt:lpstr>Elc_Factors</vt:lpstr>
      <vt:lpstr>'Emission Factors'!Print_Area</vt:lpstr>
    </vt:vector>
  </TitlesOfParts>
  <Company>City of Vancouver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Special Events GHG calculator</dc:title>
  <dc:subject>Special Events GHG calculator</dc:subject>
  <dc:creator>City of Vancouver</dc:creator>
  <cp:lastModifiedBy>Pop, Radu (Brad)</cp:lastModifiedBy>
  <dcterms:created xsi:type="dcterms:W3CDTF">2020-05-12T22:18:29Z</dcterms:created>
  <dcterms:modified xsi:type="dcterms:W3CDTF">2022-11-16T00:37:31Z</dcterms:modified>
</cp:coreProperties>
</file>